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codeName="ThisWorkbook" defaultThemeVersion="124226"/>
  <mc:AlternateContent xmlns:mc="http://schemas.openxmlformats.org/markup-compatibility/2006">
    <mc:Choice Requires="x15">
      <x15ac:absPath xmlns:x15ac="http://schemas.microsoft.com/office/spreadsheetml/2010/11/ac" url="T:\Verd Boligkreditt\Økonomi, rapportering og risiko\CBIC cover pool\"/>
    </mc:Choice>
  </mc:AlternateContent>
  <xr:revisionPtr revIDLastSave="0" documentId="13_ncr:1_{B1806886-20DD-4C2C-A12E-328394061DED}" xr6:coauthVersionLast="43" xr6:coauthVersionMax="43" xr10:uidLastSave="{00000000-0000-0000-0000-000000000000}"/>
  <bookViews>
    <workbookView xWindow="-120" yWindow="-120" windowWidth="29040" windowHeight="15840" xr2:uid="{00000000-000D-0000-FFFF-FFFF00000000}"/>
  </bookViews>
  <sheets>
    <sheet name="2019Q1" sheetId="32" r:id="rId1"/>
    <sheet name="2018Q4" sheetId="31" r:id="rId2"/>
    <sheet name="2018Q3" sheetId="29" r:id="rId3"/>
    <sheet name="2018Q2" sheetId="28" r:id="rId4"/>
    <sheet name="2018Q1" sheetId="27" r:id="rId5"/>
    <sheet name="2017Q4" sheetId="26" r:id="rId6"/>
    <sheet name="2017Q3" sheetId="24" r:id="rId7"/>
    <sheet name="2017Q2" sheetId="23" r:id="rId8"/>
    <sheet name="2016Q4" sheetId="21" r:id="rId9"/>
    <sheet name="2016Q3" sheetId="19" r:id="rId10"/>
    <sheet name="2016Q2" sheetId="18" r:id="rId11"/>
    <sheet name="2015Q4" sheetId="17" r:id="rId12"/>
    <sheet name="2015Q3" sheetId="16" r:id="rId13"/>
    <sheet name="2015Q1" sheetId="15" r:id="rId14"/>
    <sheet name="2014Q4" sheetId="14" r:id="rId15"/>
    <sheet name="2014Q3" sheetId="13" r:id="rId16"/>
    <sheet name="2013Q4" sheetId="12" r:id="rId17"/>
    <sheet name="2013Q2" sheetId="11" r:id="rId18"/>
    <sheet name="2013Q1" sheetId="10" r:id="rId19"/>
    <sheet name="2012Q4" sheetId="7" r:id="rId20"/>
    <sheet name="2012Q3" sheetId="9" r:id="rId21"/>
  </sheets>
  <externalReferences>
    <externalReference r:id="rId22"/>
    <externalReference r:id="rId23"/>
    <externalReference r:id="rId24"/>
    <externalReference r:id="rId25"/>
    <externalReference r:id="rId26"/>
    <externalReference r:id="rId27"/>
  </externalReferences>
  <definedNames>
    <definedName name="Fixed_Floating" localSheetId="8">[1]Lists!$F$56:$F$57</definedName>
    <definedName name="Fixed_Floating" localSheetId="7">[1]Lists!$F$56:$F$57</definedName>
    <definedName name="Fixed_Floating" localSheetId="6">[1]Lists!$F$56:$F$57</definedName>
    <definedName name="Fixed_Floating" localSheetId="5">[1]Lists!$F$56:$F$57</definedName>
    <definedName name="Fixed_Floating" localSheetId="4">[1]Lists!$F$56:$F$57</definedName>
    <definedName name="Fixed_Floating" localSheetId="3">[1]Lists!$F$56:$F$57</definedName>
    <definedName name="Fixed_Floating" localSheetId="2">[1]Lists!$F$56:$F$57</definedName>
    <definedName name="Fixed_Floating" localSheetId="1">[1]Lists!$F$56:$F$57</definedName>
    <definedName name="Fixed_Floating" localSheetId="0">[1]Lists!$F$56:$F$57</definedName>
    <definedName name="Fixed_Floating">[2]Lists!$F$56:$F$57</definedName>
    <definedName name="Frequency6" localSheetId="8">[1]Lists!$G$67:$G$71</definedName>
    <definedName name="Frequency6" localSheetId="7">[1]Lists!$G$67:$G$71</definedName>
    <definedName name="Frequency6" localSheetId="6">[1]Lists!$G$67:$G$71</definedName>
    <definedName name="Frequency6" localSheetId="5">[1]Lists!$G$67:$G$71</definedName>
    <definedName name="Frequency6" localSheetId="4">[1]Lists!$G$67:$G$71</definedName>
    <definedName name="Frequency6" localSheetId="3">[1]Lists!$G$67:$G$71</definedName>
    <definedName name="Frequency6" localSheetId="2">[1]Lists!$G$67:$G$71</definedName>
    <definedName name="Frequency6" localSheetId="1">[1]Lists!$G$67:$G$71</definedName>
    <definedName name="Frequency6" localSheetId="0">[1]Lists!$G$67:$G$71</definedName>
    <definedName name="Frequency6">[2]Lists!$G$67:$G$71</definedName>
    <definedName name="FX_2" localSheetId="8">[1]Lists!$B$6:$B$30</definedName>
    <definedName name="FX_2" localSheetId="7">[1]Lists!$B$6:$B$30</definedName>
    <definedName name="FX_2" localSheetId="6">[1]Lists!$B$6:$B$30</definedName>
    <definedName name="FX_2" localSheetId="5">[1]Lists!$B$6:$B$30</definedName>
    <definedName name="FX_2" localSheetId="4">[1]Lists!$B$6:$B$30</definedName>
    <definedName name="FX_2" localSheetId="3">[1]Lists!$B$6:$B$30</definedName>
    <definedName name="FX_2" localSheetId="2">[1]Lists!$B$6:$B$30</definedName>
    <definedName name="FX_2" localSheetId="1">[1]Lists!$B$6:$B$30</definedName>
    <definedName name="FX_2" localSheetId="0">[1]Lists!$B$6:$B$30</definedName>
    <definedName name="FX_2">[2]Lists!$B$6:$B$30</definedName>
    <definedName name="Input_R_NoOfLoans" localSheetId="20">'2012Q3'!$C$9</definedName>
    <definedName name="Input_R_NoOfLoans" localSheetId="18">'2013Q1'!$C$9</definedName>
    <definedName name="Input_R_NoOfLoans" localSheetId="17">'2013Q2'!$C$9</definedName>
    <definedName name="Input_R_NoOfLoans" localSheetId="16">'2013Q4'!$C$9</definedName>
    <definedName name="Input_R_NoOfLoans" localSheetId="15">'2014Q3'!$C$9</definedName>
    <definedName name="Input_R_NoOfLoans" localSheetId="14">'2014Q4'!$C$9</definedName>
    <definedName name="Input_R_NoOfLoans" localSheetId="13">'2015Q1'!$C$9</definedName>
    <definedName name="Input_R_NoOfLoans" localSheetId="12">'2015Q3'!$C$9</definedName>
    <definedName name="Input_R_NoOfLoans" localSheetId="11">'2015Q4'!$C$9</definedName>
    <definedName name="Input_R_NoOfLoans" localSheetId="10">'2016Q2'!$C$9</definedName>
    <definedName name="Input_R_NoOfLoans" localSheetId="8">'2016Q4'!$C$9</definedName>
    <definedName name="Input_R_NoOfLoans" localSheetId="7">'2017Q2'!$C$9</definedName>
    <definedName name="Input_R_NoOfLoans" localSheetId="6">'2017Q3'!$C$9</definedName>
    <definedName name="Input_R_NoOfLoans" localSheetId="5">'2017Q4'!$C$9</definedName>
    <definedName name="Input_R_NoOfLoans" localSheetId="4">'2018Q1'!$C$9</definedName>
    <definedName name="Input_R_NoOfLoans" localSheetId="3">'2018Q2'!$C$9</definedName>
    <definedName name="Input_R_NoOfLoans" localSheetId="2">'2018Q3'!$C$9</definedName>
    <definedName name="Input_R_NoOfLoans" localSheetId="1">'2018Q4'!$C$9</definedName>
    <definedName name="Input_R_NoOfLoans" localSheetId="0">'2019Q1'!$C$9</definedName>
    <definedName name="Input_R_NoOfLoans">'2012Q4'!$C$9</definedName>
    <definedName name="Input_R_TotalLoanBalance" localSheetId="20">'2012Q3'!$C$7</definedName>
    <definedName name="Input_R_TotalLoanBalance" localSheetId="18">'2013Q1'!$C$7</definedName>
    <definedName name="Input_R_TotalLoanBalance" localSheetId="17">'2013Q2'!$C$7</definedName>
    <definedName name="Input_R_TotalLoanBalance" localSheetId="16">'2013Q4'!$C$7</definedName>
    <definedName name="Input_R_TotalLoanBalance" localSheetId="15">'2014Q3'!$C$7</definedName>
    <definedName name="Input_R_TotalLoanBalance" localSheetId="14">'2014Q4'!$C$7</definedName>
    <definedName name="Input_R_TotalLoanBalance" localSheetId="13">'2015Q1'!$C$7</definedName>
    <definedName name="Input_R_TotalLoanBalance" localSheetId="12">'2015Q3'!$C$7</definedName>
    <definedName name="Input_R_TotalLoanBalance" localSheetId="11">'2015Q4'!$C$7</definedName>
    <definedName name="Input_R_TotalLoanBalance" localSheetId="10">'2016Q2'!$C$7</definedName>
    <definedName name="Input_R_TotalLoanBalance" localSheetId="8">'2016Q4'!$C$7</definedName>
    <definedName name="Input_R_TotalLoanBalance" localSheetId="7">'2017Q2'!$C$7</definedName>
    <definedName name="Input_R_TotalLoanBalance" localSheetId="6">'2017Q3'!$C$7</definedName>
    <definedName name="Input_R_TotalLoanBalance" localSheetId="5">'2017Q4'!$C$7</definedName>
    <definedName name="Input_R_TotalLoanBalance" localSheetId="4">'2018Q1'!$C$7</definedName>
    <definedName name="Input_R_TotalLoanBalance" localSheetId="3">'2018Q2'!$C$7</definedName>
    <definedName name="Input_R_TotalLoanBalance" localSheetId="2">'2018Q3'!$C$7</definedName>
    <definedName name="Input_R_TotalLoanBalance" localSheetId="1">'2018Q4'!$C$7</definedName>
    <definedName name="Input_R_TotalLoanBalance" localSheetId="0">'2019Q1'!$C$7</definedName>
    <definedName name="Input_R_TotalLoanBalance">'2012Q4'!$C$7</definedName>
    <definedName name="sd" localSheetId="8">[3]Lists!$B$6:$B$30</definedName>
    <definedName name="sd" localSheetId="7">[3]Lists!$B$6:$B$30</definedName>
    <definedName name="sd" localSheetId="6">[3]Lists!$B$6:$B$30</definedName>
    <definedName name="sd" localSheetId="5">[3]Lists!$B$6:$B$30</definedName>
    <definedName name="sd" localSheetId="4">[3]Lists!$B$6:$B$30</definedName>
    <definedName name="sd" localSheetId="3">[3]Lists!$B$6:$B$30</definedName>
    <definedName name="sd" localSheetId="2">[3]Lists!$B$6:$B$30</definedName>
    <definedName name="sd" localSheetId="1">[3]Lists!$B$6:$B$30</definedName>
    <definedName name="sd" localSheetId="0">[3]Lists!$B$6:$B$30</definedName>
    <definedName name="sd">[4]Lists!$B$6:$B$30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0" i="32" l="1"/>
  <c r="B18" i="32" l="1"/>
  <c r="B19" i="32" s="1"/>
  <c r="B20" i="32" l="1"/>
  <c r="G106" i="32" l="1"/>
  <c r="F106" i="32"/>
  <c r="E106" i="32"/>
  <c r="G98" i="32"/>
  <c r="F98" i="32"/>
  <c r="E98" i="32"/>
  <c r="F71" i="32"/>
  <c r="G61" i="32"/>
  <c r="E57" i="32"/>
  <c r="E149" i="32" l="1"/>
  <c r="C133" i="32"/>
  <c r="N110" i="32"/>
  <c r="N117" i="32" s="1"/>
  <c r="N121" i="32" s="1"/>
  <c r="M110" i="32"/>
  <c r="M117" i="32" s="1"/>
  <c r="M121" i="32" s="1"/>
  <c r="L110" i="32"/>
  <c r="L117" i="32" s="1"/>
  <c r="L121" i="32" s="1"/>
  <c r="K110" i="32"/>
  <c r="K117" i="32" s="1"/>
  <c r="K121" i="32" s="1"/>
  <c r="J110" i="32"/>
  <c r="J117" i="32" s="1"/>
  <c r="J121" i="32" s="1"/>
  <c r="I110" i="32"/>
  <c r="I117" i="32" s="1"/>
  <c r="I121" i="32" s="1"/>
  <c r="H110" i="32"/>
  <c r="H117" i="32" s="1"/>
  <c r="H121" i="32" s="1"/>
  <c r="G110" i="32"/>
  <c r="G117" i="32" s="1"/>
  <c r="G121" i="32" s="1"/>
  <c r="F110" i="32"/>
  <c r="F117" i="32" s="1"/>
  <c r="F121" i="32" s="1"/>
  <c r="E110" i="32"/>
  <c r="E117" i="32" s="1"/>
  <c r="D110" i="32"/>
  <c r="D117" i="32" s="1"/>
  <c r="D121" i="32" s="1"/>
  <c r="C110" i="32"/>
  <c r="C117" i="32" s="1"/>
  <c r="C121" i="32" s="1"/>
  <c r="B109" i="32"/>
  <c r="B108" i="32"/>
  <c r="B107" i="32"/>
  <c r="B106" i="32"/>
  <c r="N99" i="32"/>
  <c r="M99" i="32"/>
  <c r="M87" i="32" s="1"/>
  <c r="L99" i="32"/>
  <c r="L87" i="32" s="1"/>
  <c r="K99" i="32"/>
  <c r="J99" i="32"/>
  <c r="I99" i="32"/>
  <c r="I87" i="32" s="1"/>
  <c r="H99" i="32"/>
  <c r="H87" i="32" s="1"/>
  <c r="G99" i="32"/>
  <c r="F99" i="32"/>
  <c r="E99" i="32"/>
  <c r="D99" i="32"/>
  <c r="C99" i="32"/>
  <c r="B98" i="32"/>
  <c r="B97" i="32"/>
  <c r="B96" i="32"/>
  <c r="B95" i="32"/>
  <c r="B94" i="32"/>
  <c r="B86" i="32"/>
  <c r="B85" i="32"/>
  <c r="B84" i="32"/>
  <c r="N87" i="32"/>
  <c r="K87" i="32"/>
  <c r="J87" i="32"/>
  <c r="G87" i="32"/>
  <c r="F87" i="32"/>
  <c r="E87" i="32"/>
  <c r="C87" i="32"/>
  <c r="N75" i="32"/>
  <c r="M75" i="32"/>
  <c r="L75" i="32"/>
  <c r="K75" i="32"/>
  <c r="J75" i="32"/>
  <c r="I75" i="32"/>
  <c r="H75" i="32"/>
  <c r="G75" i="32"/>
  <c r="F75" i="32"/>
  <c r="E75" i="32"/>
  <c r="D75" i="32"/>
  <c r="C75" i="32"/>
  <c r="B74" i="32"/>
  <c r="B73" i="32"/>
  <c r="B72" i="32"/>
  <c r="B71" i="32"/>
  <c r="B70" i="32"/>
  <c r="B69" i="32"/>
  <c r="B68" i="32"/>
  <c r="B67" i="32"/>
  <c r="B66" i="32"/>
  <c r="B65" i="32"/>
  <c r="B64" i="32"/>
  <c r="B63" i="32"/>
  <c r="B62" i="32"/>
  <c r="B61" i="32"/>
  <c r="B60" i="32"/>
  <c r="B59" i="32"/>
  <c r="B58" i="32"/>
  <c r="B57" i="32"/>
  <c r="B56" i="32"/>
  <c r="C51" i="32"/>
  <c r="B51" i="32"/>
  <c r="C40" i="32"/>
  <c r="B40" i="32"/>
  <c r="D49" i="32" s="1"/>
  <c r="B22" i="32"/>
  <c r="B21" i="32"/>
  <c r="B110" i="32" l="1"/>
  <c r="B99" i="32"/>
  <c r="B75" i="32"/>
  <c r="D39" i="32"/>
  <c r="D28" i="32"/>
  <c r="D47" i="32"/>
  <c r="D31" i="32"/>
  <c r="D35" i="32"/>
  <c r="D46" i="32"/>
  <c r="D33" i="32"/>
  <c r="D34" i="32"/>
  <c r="D36" i="32"/>
  <c r="D37" i="32"/>
  <c r="D50" i="32"/>
  <c r="D32" i="32"/>
  <c r="D38" i="32"/>
  <c r="B83" i="32"/>
  <c r="B87" i="32" s="1"/>
  <c r="D87" i="32"/>
  <c r="E121" i="32"/>
  <c r="B117" i="32"/>
  <c r="B121" i="32" s="1"/>
  <c r="D29" i="32"/>
  <c r="D48" i="32"/>
  <c r="D30" i="32"/>
  <c r="C133" i="31"/>
  <c r="D40" i="32" l="1"/>
  <c r="D51" i="32"/>
  <c r="B94" i="31"/>
  <c r="B95" i="31"/>
  <c r="B96" i="31"/>
  <c r="B97" i="31"/>
  <c r="B98" i="31"/>
  <c r="B19" i="31" l="1"/>
  <c r="B21" i="31" s="1"/>
  <c r="E147" i="31"/>
  <c r="N110" i="31"/>
  <c r="N117" i="31" s="1"/>
  <c r="N121" i="31" s="1"/>
  <c r="M110" i="31"/>
  <c r="M117" i="31" s="1"/>
  <c r="M121" i="31" s="1"/>
  <c r="L110" i="31"/>
  <c r="L117" i="31" s="1"/>
  <c r="L121" i="31" s="1"/>
  <c r="K110" i="31"/>
  <c r="K117" i="31" s="1"/>
  <c r="K121" i="31" s="1"/>
  <c r="J110" i="31"/>
  <c r="J117" i="31" s="1"/>
  <c r="J121" i="31" s="1"/>
  <c r="I110" i="31"/>
  <c r="I117" i="31" s="1"/>
  <c r="I121" i="31" s="1"/>
  <c r="H110" i="31"/>
  <c r="H117" i="31" s="1"/>
  <c r="H121" i="31" s="1"/>
  <c r="G110" i="31"/>
  <c r="G117" i="31" s="1"/>
  <c r="F110" i="31"/>
  <c r="F117" i="31" s="1"/>
  <c r="F121" i="31" s="1"/>
  <c r="E110" i="31"/>
  <c r="E117" i="31" s="1"/>
  <c r="E121" i="31" s="1"/>
  <c r="D110" i="31"/>
  <c r="D117" i="31" s="1"/>
  <c r="D121" i="31" s="1"/>
  <c r="C110" i="31"/>
  <c r="C117" i="31" s="1"/>
  <c r="C121" i="31" s="1"/>
  <c r="B109" i="31"/>
  <c r="B108" i="31"/>
  <c r="B107" i="31"/>
  <c r="B106" i="31"/>
  <c r="N99" i="31"/>
  <c r="N83" i="31" s="1"/>
  <c r="N87" i="31" s="1"/>
  <c r="M99" i="31"/>
  <c r="M83" i="31" s="1"/>
  <c r="M87" i="31" s="1"/>
  <c r="L99" i="31"/>
  <c r="L83" i="31" s="1"/>
  <c r="L87" i="31" s="1"/>
  <c r="K99" i="31"/>
  <c r="K83" i="31" s="1"/>
  <c r="K87" i="31" s="1"/>
  <c r="J99" i="31"/>
  <c r="J83" i="31" s="1"/>
  <c r="J87" i="31" s="1"/>
  <c r="I99" i="31"/>
  <c r="I83" i="31" s="1"/>
  <c r="I87" i="31" s="1"/>
  <c r="H99" i="31"/>
  <c r="H83" i="31" s="1"/>
  <c r="G99" i="31"/>
  <c r="G83" i="31" s="1"/>
  <c r="G87" i="31" s="1"/>
  <c r="F99" i="31"/>
  <c r="F83" i="31" s="1"/>
  <c r="F87" i="31" s="1"/>
  <c r="E99" i="31"/>
  <c r="E83" i="31" s="1"/>
  <c r="E87" i="31" s="1"/>
  <c r="D99" i="31"/>
  <c r="D83" i="31" s="1"/>
  <c r="D87" i="31" s="1"/>
  <c r="C99" i="31"/>
  <c r="C83" i="31" s="1"/>
  <c r="C87" i="31" s="1"/>
  <c r="B99" i="31"/>
  <c r="B86" i="31"/>
  <c r="B85" i="31"/>
  <c r="B84" i="31"/>
  <c r="N75" i="31"/>
  <c r="M75" i="31"/>
  <c r="L75" i="31"/>
  <c r="K75" i="31"/>
  <c r="J75" i="31"/>
  <c r="I75" i="31"/>
  <c r="H75" i="31"/>
  <c r="G75" i="31"/>
  <c r="F75" i="31"/>
  <c r="E75" i="31"/>
  <c r="D75" i="31"/>
  <c r="C75" i="31"/>
  <c r="B74" i="31"/>
  <c r="B73" i="31"/>
  <c r="B72" i="31"/>
  <c r="B71" i="31"/>
  <c r="B70" i="31"/>
  <c r="B69" i="31"/>
  <c r="B68" i="31"/>
  <c r="B67" i="31"/>
  <c r="B66" i="31"/>
  <c r="B65" i="31"/>
  <c r="B64" i="31"/>
  <c r="B63" i="31"/>
  <c r="B62" i="31"/>
  <c r="B61" i="31"/>
  <c r="B60" i="31"/>
  <c r="B59" i="31"/>
  <c r="B58" i="31"/>
  <c r="B57" i="31"/>
  <c r="B56" i="31"/>
  <c r="C51" i="31"/>
  <c r="B51" i="31"/>
  <c r="C40" i="31"/>
  <c r="B40" i="31"/>
  <c r="D47" i="31" s="1"/>
  <c r="D32" i="31" l="1"/>
  <c r="D30" i="31"/>
  <c r="D33" i="31"/>
  <c r="D34" i="31"/>
  <c r="D35" i="31"/>
  <c r="D36" i="31"/>
  <c r="B20" i="31"/>
  <c r="D31" i="31"/>
  <c r="D37" i="31"/>
  <c r="B110" i="31"/>
  <c r="B75" i="31"/>
  <c r="D38" i="31"/>
  <c r="D46" i="31"/>
  <c r="D48" i="31"/>
  <c r="D39" i="31"/>
  <c r="D49" i="31"/>
  <c r="D29" i="31"/>
  <c r="D50" i="31"/>
  <c r="B22" i="31"/>
  <c r="G121" i="31"/>
  <c r="B117" i="31"/>
  <c r="B121" i="31" s="1"/>
  <c r="H87" i="31"/>
  <c r="B83" i="31"/>
  <c r="B87" i="31" s="1"/>
  <c r="D28" i="31"/>
  <c r="D51" i="31" l="1"/>
  <c r="D40" i="31"/>
  <c r="B19" i="29" l="1"/>
  <c r="B20" i="29" s="1"/>
  <c r="B21" i="29" l="1"/>
  <c r="B8" i="29"/>
  <c r="E150" i="29" l="1"/>
  <c r="C133" i="29"/>
  <c r="N110" i="29"/>
  <c r="N117" i="29" s="1"/>
  <c r="N121" i="29" s="1"/>
  <c r="M110" i="29"/>
  <c r="M117" i="29" s="1"/>
  <c r="M121" i="29" s="1"/>
  <c r="L110" i="29"/>
  <c r="L117" i="29" s="1"/>
  <c r="L121" i="29" s="1"/>
  <c r="K110" i="29"/>
  <c r="K117" i="29" s="1"/>
  <c r="J110" i="29"/>
  <c r="J117" i="29" s="1"/>
  <c r="J121" i="29" s="1"/>
  <c r="I110" i="29"/>
  <c r="I117" i="29" s="1"/>
  <c r="I121" i="29" s="1"/>
  <c r="H110" i="29"/>
  <c r="H117" i="29" s="1"/>
  <c r="H121" i="29" s="1"/>
  <c r="G110" i="29"/>
  <c r="G117" i="29" s="1"/>
  <c r="G121" i="29" s="1"/>
  <c r="F110" i="29"/>
  <c r="F117" i="29" s="1"/>
  <c r="F121" i="29" s="1"/>
  <c r="E110" i="29"/>
  <c r="E117" i="29" s="1"/>
  <c r="E121" i="29" s="1"/>
  <c r="D110" i="29"/>
  <c r="D117" i="29" s="1"/>
  <c r="D121" i="29" s="1"/>
  <c r="C110" i="29"/>
  <c r="C117" i="29" s="1"/>
  <c r="C121" i="29" s="1"/>
  <c r="B109" i="29"/>
  <c r="B108" i="29"/>
  <c r="B107" i="29"/>
  <c r="B106" i="29"/>
  <c r="N99" i="29"/>
  <c r="N83" i="29" s="1"/>
  <c r="N87" i="29" s="1"/>
  <c r="M99" i="29"/>
  <c r="M83" i="29" s="1"/>
  <c r="M87" i="29" s="1"/>
  <c r="L99" i="29"/>
  <c r="L83" i="29" s="1"/>
  <c r="L87" i="29" s="1"/>
  <c r="K99" i="29"/>
  <c r="K83" i="29" s="1"/>
  <c r="J99" i="29"/>
  <c r="J83" i="29" s="1"/>
  <c r="J87" i="29" s="1"/>
  <c r="I99" i="29"/>
  <c r="I83" i="29" s="1"/>
  <c r="I87" i="29" s="1"/>
  <c r="H99" i="29"/>
  <c r="H83" i="29" s="1"/>
  <c r="H87" i="29" s="1"/>
  <c r="G99" i="29"/>
  <c r="G83" i="29" s="1"/>
  <c r="G87" i="29" s="1"/>
  <c r="F99" i="29"/>
  <c r="F83" i="29" s="1"/>
  <c r="F87" i="29" s="1"/>
  <c r="E99" i="29"/>
  <c r="E83" i="29" s="1"/>
  <c r="E87" i="29" s="1"/>
  <c r="D99" i="29"/>
  <c r="D83" i="29" s="1"/>
  <c r="D87" i="29" s="1"/>
  <c r="C99" i="29"/>
  <c r="B98" i="29"/>
  <c r="B97" i="29"/>
  <c r="B96" i="29"/>
  <c r="B95" i="29"/>
  <c r="B94" i="29"/>
  <c r="B86" i="29"/>
  <c r="B85" i="29"/>
  <c r="B84" i="29"/>
  <c r="N75" i="29"/>
  <c r="M75" i="29"/>
  <c r="L75" i="29"/>
  <c r="K75" i="29"/>
  <c r="J75" i="29"/>
  <c r="I75" i="29"/>
  <c r="H75" i="29"/>
  <c r="G75" i="29"/>
  <c r="F75" i="29"/>
  <c r="E75" i="29"/>
  <c r="D75" i="29"/>
  <c r="C75" i="29"/>
  <c r="B74" i="29"/>
  <c r="B73" i="29"/>
  <c r="B72" i="29"/>
  <c r="B71" i="29"/>
  <c r="B70" i="29"/>
  <c r="B69" i="29"/>
  <c r="B68" i="29"/>
  <c r="B67" i="29"/>
  <c r="B66" i="29"/>
  <c r="B65" i="29"/>
  <c r="B64" i="29"/>
  <c r="B63" i="29"/>
  <c r="B62" i="29"/>
  <c r="B61" i="29"/>
  <c r="B60" i="29"/>
  <c r="B59" i="29"/>
  <c r="B58" i="29"/>
  <c r="B57" i="29"/>
  <c r="B56" i="29"/>
  <c r="C51" i="29"/>
  <c r="B51" i="29"/>
  <c r="C40" i="29"/>
  <c r="B40" i="29"/>
  <c r="D49" i="29" s="1"/>
  <c r="C83" i="29" l="1"/>
  <c r="C87" i="29" s="1"/>
  <c r="B110" i="29"/>
  <c r="B99" i="29"/>
  <c r="B75" i="29"/>
  <c r="D34" i="29"/>
  <c r="D36" i="29"/>
  <c r="D37" i="29"/>
  <c r="D33" i="29"/>
  <c r="D35" i="29"/>
  <c r="D38" i="29"/>
  <c r="D39" i="29"/>
  <c r="K87" i="29"/>
  <c r="B83" i="29"/>
  <c r="B87" i="29" s="1"/>
  <c r="B22" i="29"/>
  <c r="K121" i="29"/>
  <c r="B117" i="29"/>
  <c r="B121" i="29" s="1"/>
  <c r="D31" i="29"/>
  <c r="D50" i="29"/>
  <c r="D32" i="29"/>
  <c r="D46" i="29"/>
  <c r="D28" i="29"/>
  <c r="D47" i="29"/>
  <c r="D29" i="29"/>
  <c r="D48" i="29"/>
  <c r="D30" i="29"/>
  <c r="D51" i="29" l="1"/>
  <c r="D40" i="29"/>
  <c r="C40" i="28"/>
  <c r="B40" i="28"/>
  <c r="B18" i="28"/>
  <c r="B19" i="28" s="1"/>
  <c r="B20" i="28" l="1"/>
  <c r="B21" i="28"/>
  <c r="E148" i="28"/>
  <c r="C132" i="28"/>
  <c r="N110" i="28"/>
  <c r="N117" i="28" s="1"/>
  <c r="N121" i="28" s="1"/>
  <c r="M110" i="28"/>
  <c r="M117" i="28" s="1"/>
  <c r="M121" i="28" s="1"/>
  <c r="L110" i="28"/>
  <c r="L117" i="28" s="1"/>
  <c r="L121" i="28" s="1"/>
  <c r="K110" i="28"/>
  <c r="K117" i="28" s="1"/>
  <c r="K121" i="28" s="1"/>
  <c r="J110" i="28"/>
  <c r="J117" i="28" s="1"/>
  <c r="J121" i="28" s="1"/>
  <c r="I110" i="28"/>
  <c r="I117" i="28" s="1"/>
  <c r="I121" i="28" s="1"/>
  <c r="H110" i="28"/>
  <c r="H117" i="28" s="1"/>
  <c r="H121" i="28" s="1"/>
  <c r="G110" i="28"/>
  <c r="G117" i="28" s="1"/>
  <c r="G121" i="28" s="1"/>
  <c r="F110" i="28"/>
  <c r="F117" i="28" s="1"/>
  <c r="F121" i="28" s="1"/>
  <c r="E110" i="28"/>
  <c r="E117" i="28" s="1"/>
  <c r="E121" i="28" s="1"/>
  <c r="D110" i="28"/>
  <c r="D117" i="28" s="1"/>
  <c r="D121" i="28" s="1"/>
  <c r="C110" i="28"/>
  <c r="C117" i="28" s="1"/>
  <c r="B109" i="28"/>
  <c r="B108" i="28"/>
  <c r="B107" i="28"/>
  <c r="B106" i="28"/>
  <c r="N99" i="28"/>
  <c r="N83" i="28" s="1"/>
  <c r="N87" i="28" s="1"/>
  <c r="M99" i="28"/>
  <c r="M83" i="28" s="1"/>
  <c r="M87" i="28" s="1"/>
  <c r="L99" i="28"/>
  <c r="L83" i="28" s="1"/>
  <c r="L87" i="28" s="1"/>
  <c r="K99" i="28"/>
  <c r="K83" i="28" s="1"/>
  <c r="K87" i="28" s="1"/>
  <c r="J99" i="28"/>
  <c r="J83" i="28" s="1"/>
  <c r="J87" i="28" s="1"/>
  <c r="I99" i="28"/>
  <c r="I83" i="28" s="1"/>
  <c r="I87" i="28" s="1"/>
  <c r="H99" i="28"/>
  <c r="H83" i="28" s="1"/>
  <c r="H87" i="28" s="1"/>
  <c r="G99" i="28"/>
  <c r="G83" i="28" s="1"/>
  <c r="G87" i="28" s="1"/>
  <c r="F99" i="28"/>
  <c r="F83" i="28" s="1"/>
  <c r="F87" i="28" s="1"/>
  <c r="E99" i="28"/>
  <c r="E83" i="28" s="1"/>
  <c r="E87" i="28" s="1"/>
  <c r="D99" i="28"/>
  <c r="D83" i="28" s="1"/>
  <c r="D87" i="28" s="1"/>
  <c r="C99" i="28"/>
  <c r="C83" i="28" s="1"/>
  <c r="B98" i="28"/>
  <c r="B97" i="28"/>
  <c r="B96" i="28"/>
  <c r="B95" i="28"/>
  <c r="B94" i="28"/>
  <c r="B86" i="28"/>
  <c r="B85" i="28"/>
  <c r="B84" i="28"/>
  <c r="N75" i="28"/>
  <c r="M75" i="28"/>
  <c r="L75" i="28"/>
  <c r="K75" i="28"/>
  <c r="J75" i="28"/>
  <c r="I75" i="28"/>
  <c r="H75" i="28"/>
  <c r="G75" i="28"/>
  <c r="F75" i="28"/>
  <c r="E75" i="28"/>
  <c r="D75" i="28"/>
  <c r="C75" i="28"/>
  <c r="B74" i="28"/>
  <c r="B73" i="28"/>
  <c r="B72" i="28"/>
  <c r="B71" i="28"/>
  <c r="B70" i="28"/>
  <c r="B69" i="28"/>
  <c r="B68" i="28"/>
  <c r="B67" i="28"/>
  <c r="B66" i="28"/>
  <c r="B65" i="28"/>
  <c r="B64" i="28"/>
  <c r="B63" i="28"/>
  <c r="B62" i="28"/>
  <c r="B61" i="28"/>
  <c r="B60" i="28"/>
  <c r="B59" i="28"/>
  <c r="B58" i="28"/>
  <c r="B57" i="28"/>
  <c r="B56" i="28"/>
  <c r="C51" i="28"/>
  <c r="B51" i="28"/>
  <c r="D50" i="28"/>
  <c r="D49" i="28"/>
  <c r="D48" i="28"/>
  <c r="D47" i="28"/>
  <c r="D46" i="28"/>
  <c r="D39" i="28"/>
  <c r="D38" i="28"/>
  <c r="D37" i="28"/>
  <c r="D36" i="28"/>
  <c r="D35" i="28"/>
  <c r="D34" i="28"/>
  <c r="D33" i="28"/>
  <c r="D32" i="28"/>
  <c r="D31" i="28"/>
  <c r="D30" i="28"/>
  <c r="D29" i="28"/>
  <c r="D28" i="28"/>
  <c r="B110" i="28" l="1"/>
  <c r="B117" i="28"/>
  <c r="B121" i="28" s="1"/>
  <c r="B83" i="28"/>
  <c r="B87" i="28" s="1"/>
  <c r="B99" i="28"/>
  <c r="B75" i="28"/>
  <c r="D51" i="28"/>
  <c r="D40" i="28"/>
  <c r="B22" i="28"/>
  <c r="C87" i="28"/>
  <c r="C121" i="28"/>
  <c r="C133" i="27"/>
  <c r="B107" i="27"/>
  <c r="B108" i="27"/>
  <c r="B109" i="27"/>
  <c r="B106" i="27"/>
  <c r="D30" i="27"/>
  <c r="B18" i="27" l="1"/>
  <c r="B19" i="27" s="1"/>
  <c r="E149" i="27"/>
  <c r="D126" i="27"/>
  <c r="N110" i="27"/>
  <c r="N117" i="27" s="1"/>
  <c r="N121" i="27" s="1"/>
  <c r="M110" i="27"/>
  <c r="M117" i="27" s="1"/>
  <c r="M121" i="27" s="1"/>
  <c r="L110" i="27"/>
  <c r="L117" i="27" s="1"/>
  <c r="L121" i="27" s="1"/>
  <c r="K110" i="27"/>
  <c r="K117" i="27" s="1"/>
  <c r="K121" i="27" s="1"/>
  <c r="J110" i="27"/>
  <c r="J117" i="27" s="1"/>
  <c r="J121" i="27" s="1"/>
  <c r="I110" i="27"/>
  <c r="I117" i="27" s="1"/>
  <c r="I121" i="27" s="1"/>
  <c r="H110" i="27"/>
  <c r="H117" i="27" s="1"/>
  <c r="H121" i="27" s="1"/>
  <c r="G110" i="27"/>
  <c r="G117" i="27" s="1"/>
  <c r="G121" i="27" s="1"/>
  <c r="F110" i="27"/>
  <c r="F117" i="27" s="1"/>
  <c r="F121" i="27" s="1"/>
  <c r="E110" i="27"/>
  <c r="E117" i="27" s="1"/>
  <c r="E121" i="27" s="1"/>
  <c r="D110" i="27"/>
  <c r="D117" i="27" s="1"/>
  <c r="D121" i="27" s="1"/>
  <c r="C110" i="27"/>
  <c r="C117" i="27" s="1"/>
  <c r="B110" i="27"/>
  <c r="N99" i="27"/>
  <c r="N83" i="27" s="1"/>
  <c r="N87" i="27" s="1"/>
  <c r="M99" i="27"/>
  <c r="M83" i="27" s="1"/>
  <c r="M87" i="27" s="1"/>
  <c r="L99" i="27"/>
  <c r="L83" i="27" s="1"/>
  <c r="L87" i="27" s="1"/>
  <c r="K99" i="27"/>
  <c r="K83" i="27" s="1"/>
  <c r="K87" i="27" s="1"/>
  <c r="J99" i="27"/>
  <c r="J83" i="27" s="1"/>
  <c r="J87" i="27" s="1"/>
  <c r="I99" i="27"/>
  <c r="I83" i="27" s="1"/>
  <c r="I87" i="27" s="1"/>
  <c r="H99" i="27"/>
  <c r="H83" i="27" s="1"/>
  <c r="H87" i="27" s="1"/>
  <c r="G99" i="27"/>
  <c r="G83" i="27" s="1"/>
  <c r="G87" i="27" s="1"/>
  <c r="F99" i="27"/>
  <c r="F83" i="27" s="1"/>
  <c r="F87" i="27" s="1"/>
  <c r="E99" i="27"/>
  <c r="D99" i="27"/>
  <c r="D83" i="27" s="1"/>
  <c r="D87" i="27" s="1"/>
  <c r="C99" i="27"/>
  <c r="C83" i="27" s="1"/>
  <c r="B98" i="27"/>
  <c r="B97" i="27"/>
  <c r="B96" i="27"/>
  <c r="B95" i="27"/>
  <c r="B94" i="27"/>
  <c r="B86" i="27"/>
  <c r="B85" i="27"/>
  <c r="B84" i="27"/>
  <c r="N75" i="27"/>
  <c r="M75" i="27"/>
  <c r="L75" i="27"/>
  <c r="K75" i="27"/>
  <c r="J75" i="27"/>
  <c r="I75" i="27"/>
  <c r="H75" i="27"/>
  <c r="G75" i="27"/>
  <c r="F75" i="27"/>
  <c r="E75" i="27"/>
  <c r="D75" i="27"/>
  <c r="C75" i="27"/>
  <c r="B74" i="27"/>
  <c r="B73" i="27"/>
  <c r="B72" i="27"/>
  <c r="B71" i="27"/>
  <c r="B70" i="27"/>
  <c r="B69" i="27"/>
  <c r="B68" i="27"/>
  <c r="B67" i="27"/>
  <c r="B66" i="27"/>
  <c r="B65" i="27"/>
  <c r="B64" i="27"/>
  <c r="B63" i="27"/>
  <c r="B62" i="27"/>
  <c r="B61" i="27"/>
  <c r="B60" i="27"/>
  <c r="B59" i="27"/>
  <c r="B58" i="27"/>
  <c r="B57" i="27"/>
  <c r="B56" i="27"/>
  <c r="C51" i="27"/>
  <c r="B51" i="27"/>
  <c r="D50" i="27"/>
  <c r="D46" i="27"/>
  <c r="D49" i="27"/>
  <c r="D39" i="27"/>
  <c r="D36" i="27"/>
  <c r="D35" i="27"/>
  <c r="D32" i="27"/>
  <c r="D31" i="27"/>
  <c r="D28" i="27"/>
  <c r="B21" i="27"/>
  <c r="E83" i="27" l="1"/>
  <c r="E87" i="27" s="1"/>
  <c r="B99" i="27"/>
  <c r="B75" i="27"/>
  <c r="C87" i="27"/>
  <c r="C121" i="27"/>
  <c r="B117" i="27"/>
  <c r="B121" i="27" s="1"/>
  <c r="B22" i="27"/>
  <c r="B20" i="27"/>
  <c r="D47" i="27"/>
  <c r="D29" i="27"/>
  <c r="D33" i="27"/>
  <c r="D37" i="27"/>
  <c r="D48" i="27"/>
  <c r="D34" i="27"/>
  <c r="D38" i="27"/>
  <c r="B18" i="26"/>
  <c r="C111" i="26"/>
  <c r="C118" i="26" s="1"/>
  <c r="E85" i="26"/>
  <c r="D76" i="26"/>
  <c r="E76" i="26"/>
  <c r="F76" i="26"/>
  <c r="G76" i="26"/>
  <c r="H76" i="26"/>
  <c r="I76" i="26"/>
  <c r="J76" i="26"/>
  <c r="K76" i="26"/>
  <c r="L76" i="26"/>
  <c r="M76" i="26"/>
  <c r="N76" i="26"/>
  <c r="C76" i="26"/>
  <c r="B83" i="27" l="1"/>
  <c r="B87" i="27" s="1"/>
  <c r="D51" i="27"/>
  <c r="D40" i="27"/>
  <c r="E149" i="26"/>
  <c r="C133" i="26"/>
  <c r="D127" i="26"/>
  <c r="C122" i="26"/>
  <c r="N111" i="26"/>
  <c r="N118" i="26" s="1"/>
  <c r="N122" i="26" s="1"/>
  <c r="M111" i="26"/>
  <c r="M118" i="26" s="1"/>
  <c r="M122" i="26" s="1"/>
  <c r="L111" i="26"/>
  <c r="L118" i="26" s="1"/>
  <c r="L122" i="26" s="1"/>
  <c r="K111" i="26"/>
  <c r="K118" i="26" s="1"/>
  <c r="K122" i="26" s="1"/>
  <c r="J111" i="26"/>
  <c r="J118" i="26" s="1"/>
  <c r="J122" i="26" s="1"/>
  <c r="I111" i="26"/>
  <c r="I118" i="26" s="1"/>
  <c r="I122" i="26" s="1"/>
  <c r="H111" i="26"/>
  <c r="H118" i="26" s="1"/>
  <c r="H122" i="26" s="1"/>
  <c r="G111" i="26"/>
  <c r="G118" i="26" s="1"/>
  <c r="G122" i="26" s="1"/>
  <c r="F111" i="26"/>
  <c r="F118" i="26" s="1"/>
  <c r="F122" i="26" s="1"/>
  <c r="E111" i="26"/>
  <c r="E118" i="26" s="1"/>
  <c r="E122" i="26" s="1"/>
  <c r="D111" i="26"/>
  <c r="D118" i="26" s="1"/>
  <c r="B109" i="26"/>
  <c r="B108" i="26"/>
  <c r="B107" i="26"/>
  <c r="N100" i="26"/>
  <c r="M100" i="26"/>
  <c r="M84" i="26" s="1"/>
  <c r="M88" i="26" s="1"/>
  <c r="L100" i="26"/>
  <c r="L84" i="26" s="1"/>
  <c r="L88" i="26" s="1"/>
  <c r="K100" i="26"/>
  <c r="K84" i="26" s="1"/>
  <c r="K88" i="26" s="1"/>
  <c r="J100" i="26"/>
  <c r="J84" i="26" s="1"/>
  <c r="J88" i="26" s="1"/>
  <c r="I100" i="26"/>
  <c r="I84" i="26" s="1"/>
  <c r="I88" i="26" s="1"/>
  <c r="H100" i="26"/>
  <c r="H84" i="26" s="1"/>
  <c r="H88" i="26" s="1"/>
  <c r="G100" i="26"/>
  <c r="G84" i="26" s="1"/>
  <c r="G88" i="26" s="1"/>
  <c r="F100" i="26"/>
  <c r="E100" i="26"/>
  <c r="E84" i="26" s="1"/>
  <c r="E88" i="26" s="1"/>
  <c r="D100" i="26"/>
  <c r="D84" i="26" s="1"/>
  <c r="D88" i="26" s="1"/>
  <c r="C100" i="26"/>
  <c r="C84" i="26" s="1"/>
  <c r="B99" i="26"/>
  <c r="B98" i="26"/>
  <c r="B97" i="26"/>
  <c r="B96" i="26"/>
  <c r="B95" i="26"/>
  <c r="B87" i="26"/>
  <c r="B86" i="26"/>
  <c r="B85" i="26"/>
  <c r="N84" i="26"/>
  <c r="N88" i="26" s="1"/>
  <c r="F84" i="26"/>
  <c r="F88" i="26" s="1"/>
  <c r="B75" i="26"/>
  <c r="B74" i="26"/>
  <c r="B73" i="26"/>
  <c r="B72" i="26"/>
  <c r="B71" i="26"/>
  <c r="B70" i="26"/>
  <c r="B69" i="26"/>
  <c r="B68" i="26"/>
  <c r="B67" i="26"/>
  <c r="B66" i="26"/>
  <c r="B65" i="26"/>
  <c r="B64" i="26"/>
  <c r="B63" i="26"/>
  <c r="B62" i="26"/>
  <c r="B61" i="26"/>
  <c r="B60" i="26"/>
  <c r="B59" i="26"/>
  <c r="B58" i="26"/>
  <c r="B57" i="26"/>
  <c r="B56" i="26"/>
  <c r="C51" i="26"/>
  <c r="B51" i="26"/>
  <c r="C40" i="26"/>
  <c r="B40" i="26"/>
  <c r="D50" i="26" s="1"/>
  <c r="E20" i="26"/>
  <c r="B19" i="26"/>
  <c r="B22" i="26" s="1"/>
  <c r="B118" i="26" l="1"/>
  <c r="B122" i="26" s="1"/>
  <c r="D122" i="26"/>
  <c r="B20" i="26"/>
  <c r="B111" i="26"/>
  <c r="B100" i="26"/>
  <c r="B76" i="26"/>
  <c r="D28" i="26"/>
  <c r="C88" i="26"/>
  <c r="B84" i="26"/>
  <c r="B88" i="26" s="1"/>
  <c r="B17" i="26" s="1"/>
  <c r="D29" i="26"/>
  <c r="D33" i="26"/>
  <c r="D37" i="26"/>
  <c r="D48" i="26"/>
  <c r="D32" i="26"/>
  <c r="D36" i="26"/>
  <c r="D47" i="26"/>
  <c r="B21" i="26"/>
  <c r="D30" i="26"/>
  <c r="D34" i="26"/>
  <c r="D38" i="26"/>
  <c r="D49" i="26"/>
  <c r="D31" i="26"/>
  <c r="D35" i="26"/>
  <c r="D39" i="26"/>
  <c r="D46" i="26"/>
  <c r="D51" i="26" l="1"/>
  <c r="D40" i="26"/>
  <c r="E150" i="24" l="1"/>
  <c r="E86" i="23"/>
  <c r="B95" i="24"/>
  <c r="B96" i="24"/>
  <c r="B97" i="24"/>
  <c r="B98" i="24"/>
  <c r="B99" i="24"/>
  <c r="B18" i="24" l="1"/>
  <c r="B19" i="24" s="1"/>
  <c r="B22" i="24" s="1"/>
  <c r="C133" i="24"/>
  <c r="D127" i="24"/>
  <c r="N122" i="24"/>
  <c r="M122" i="24"/>
  <c r="L122" i="24"/>
  <c r="K122" i="24"/>
  <c r="J122" i="24"/>
  <c r="I122" i="24"/>
  <c r="H122" i="24"/>
  <c r="G122" i="24"/>
  <c r="F122" i="24"/>
  <c r="E122" i="24"/>
  <c r="D122" i="24"/>
  <c r="C122" i="24"/>
  <c r="B118" i="24"/>
  <c r="B122" i="24" s="1"/>
  <c r="N111" i="24"/>
  <c r="M111" i="24"/>
  <c r="L111" i="24"/>
  <c r="K111" i="24"/>
  <c r="J111" i="24"/>
  <c r="I111" i="24"/>
  <c r="H111" i="24"/>
  <c r="G111" i="24"/>
  <c r="F111" i="24"/>
  <c r="E111" i="24"/>
  <c r="D111" i="24"/>
  <c r="C111" i="24"/>
  <c r="B109" i="24"/>
  <c r="B108" i="24"/>
  <c r="B107" i="24"/>
  <c r="N100" i="24"/>
  <c r="N84" i="24" s="1"/>
  <c r="N88" i="24" s="1"/>
  <c r="M100" i="24"/>
  <c r="M84" i="24" s="1"/>
  <c r="M88" i="24" s="1"/>
  <c r="L100" i="24"/>
  <c r="L84" i="24" s="1"/>
  <c r="L88" i="24" s="1"/>
  <c r="K100" i="24"/>
  <c r="K84" i="24" s="1"/>
  <c r="K88" i="24" s="1"/>
  <c r="J100" i="24"/>
  <c r="J84" i="24" s="1"/>
  <c r="J88" i="24" s="1"/>
  <c r="I100" i="24"/>
  <c r="I84" i="24" s="1"/>
  <c r="I88" i="24" s="1"/>
  <c r="H100" i="24"/>
  <c r="H84" i="24" s="1"/>
  <c r="H88" i="24" s="1"/>
  <c r="G100" i="24"/>
  <c r="G84" i="24" s="1"/>
  <c r="G88" i="24" s="1"/>
  <c r="F100" i="24"/>
  <c r="F84" i="24" s="1"/>
  <c r="F88" i="24" s="1"/>
  <c r="E100" i="24"/>
  <c r="D100" i="24"/>
  <c r="D84" i="24" s="1"/>
  <c r="D88" i="24" s="1"/>
  <c r="C100" i="24"/>
  <c r="C84" i="24" s="1"/>
  <c r="B87" i="24"/>
  <c r="B85" i="24"/>
  <c r="B75" i="24"/>
  <c r="B74" i="24"/>
  <c r="B73" i="24"/>
  <c r="B72" i="24"/>
  <c r="B71" i="24"/>
  <c r="B70" i="24"/>
  <c r="B69" i="24"/>
  <c r="B68" i="24"/>
  <c r="B67" i="24"/>
  <c r="B66" i="24"/>
  <c r="B65" i="24"/>
  <c r="B64" i="24"/>
  <c r="B63" i="24"/>
  <c r="B62" i="24"/>
  <c r="B61" i="24"/>
  <c r="B60" i="24"/>
  <c r="B59" i="24"/>
  <c r="B58" i="24"/>
  <c r="B57" i="24"/>
  <c r="B56" i="24"/>
  <c r="C51" i="24"/>
  <c r="B51" i="24"/>
  <c r="C40" i="24"/>
  <c r="B40" i="24"/>
  <c r="D50" i="24" s="1"/>
  <c r="D28" i="24" l="1"/>
  <c r="D36" i="24"/>
  <c r="D32" i="24"/>
  <c r="E84" i="24"/>
  <c r="E88" i="24" s="1"/>
  <c r="B100" i="24"/>
  <c r="B76" i="24"/>
  <c r="B86" i="24"/>
  <c r="B111" i="24"/>
  <c r="B21" i="24"/>
  <c r="C88" i="24"/>
  <c r="D47" i="24"/>
  <c r="B20" i="24"/>
  <c r="D29" i="24"/>
  <c r="D33" i="24"/>
  <c r="D37" i="24"/>
  <c r="D48" i="24"/>
  <c r="D30" i="24"/>
  <c r="D34" i="24"/>
  <c r="D38" i="24"/>
  <c r="D49" i="24"/>
  <c r="D31" i="24"/>
  <c r="D35" i="24"/>
  <c r="D39" i="24"/>
  <c r="D46" i="24"/>
  <c r="E150" i="23"/>
  <c r="C134" i="23"/>
  <c r="D128" i="23"/>
  <c r="N122" i="23"/>
  <c r="M122" i="23"/>
  <c r="L122" i="23"/>
  <c r="K122" i="23"/>
  <c r="J122" i="23"/>
  <c r="I122" i="23"/>
  <c r="H122" i="23"/>
  <c r="G122" i="23"/>
  <c r="F122" i="23"/>
  <c r="E122" i="23"/>
  <c r="D122" i="23"/>
  <c r="C122" i="23"/>
  <c r="B122" i="23"/>
  <c r="B118" i="23"/>
  <c r="N111" i="23"/>
  <c r="M111" i="23"/>
  <c r="L111" i="23"/>
  <c r="K111" i="23"/>
  <c r="J111" i="23"/>
  <c r="I111" i="23"/>
  <c r="H111" i="23"/>
  <c r="G111" i="23"/>
  <c r="F111" i="23"/>
  <c r="E111" i="23"/>
  <c r="D111" i="23"/>
  <c r="C111" i="23"/>
  <c r="B109" i="23"/>
  <c r="B108" i="23"/>
  <c r="B107" i="23"/>
  <c r="B111" i="23" s="1"/>
  <c r="N100" i="23"/>
  <c r="M100" i="23"/>
  <c r="M84" i="23" s="1"/>
  <c r="M88" i="23" s="1"/>
  <c r="L100" i="23"/>
  <c r="L84" i="23" s="1"/>
  <c r="L88" i="23" s="1"/>
  <c r="K100" i="23"/>
  <c r="K84" i="23" s="1"/>
  <c r="K88" i="23" s="1"/>
  <c r="J100" i="23"/>
  <c r="I100" i="23"/>
  <c r="I84" i="23" s="1"/>
  <c r="I88" i="23" s="1"/>
  <c r="H100" i="23"/>
  <c r="H84" i="23" s="1"/>
  <c r="H88" i="23" s="1"/>
  <c r="G100" i="23"/>
  <c r="G84" i="23" s="1"/>
  <c r="G88" i="23" s="1"/>
  <c r="F100" i="23"/>
  <c r="E100" i="23"/>
  <c r="E84" i="23" s="1"/>
  <c r="E88" i="23" s="1"/>
  <c r="D100" i="23"/>
  <c r="D84" i="23" s="1"/>
  <c r="D88" i="23" s="1"/>
  <c r="C100" i="23"/>
  <c r="C84" i="23" s="1"/>
  <c r="B99" i="23"/>
  <c r="B98" i="23"/>
  <c r="B97" i="23"/>
  <c r="B96" i="23"/>
  <c r="B95" i="23"/>
  <c r="B87" i="23"/>
  <c r="B86" i="23"/>
  <c r="B85" i="23"/>
  <c r="N84" i="23"/>
  <c r="N88" i="23" s="1"/>
  <c r="J84" i="23"/>
  <c r="J88" i="23" s="1"/>
  <c r="F84" i="23"/>
  <c r="F88" i="23" s="1"/>
  <c r="N76" i="23"/>
  <c r="M76" i="23"/>
  <c r="L76" i="23"/>
  <c r="K76" i="23"/>
  <c r="J76" i="23"/>
  <c r="I76" i="23"/>
  <c r="H76" i="23"/>
  <c r="G76" i="23"/>
  <c r="F76" i="23"/>
  <c r="E76" i="23"/>
  <c r="D76" i="23"/>
  <c r="C76" i="23"/>
  <c r="B75" i="23"/>
  <c r="B74" i="23"/>
  <c r="B73" i="23"/>
  <c r="B72" i="23"/>
  <c r="B71" i="23"/>
  <c r="B70" i="23"/>
  <c r="B69" i="23"/>
  <c r="B68" i="23"/>
  <c r="B67" i="23"/>
  <c r="B66" i="23"/>
  <c r="B65" i="23"/>
  <c r="B64" i="23"/>
  <c r="B63" i="23"/>
  <c r="B62" i="23"/>
  <c r="B61" i="23"/>
  <c r="B60" i="23"/>
  <c r="B59" i="23"/>
  <c r="B58" i="23"/>
  <c r="B57" i="23"/>
  <c r="B56" i="23"/>
  <c r="C51" i="23"/>
  <c r="B51" i="23"/>
  <c r="C40" i="23"/>
  <c r="B40" i="23"/>
  <c r="D47" i="23" s="1"/>
  <c r="B18" i="23"/>
  <c r="B19" i="23" s="1"/>
  <c r="D28" i="23" l="1"/>
  <c r="D33" i="23"/>
  <c r="D29" i="23"/>
  <c r="D49" i="23"/>
  <c r="D38" i="23"/>
  <c r="B22" i="23"/>
  <c r="B21" i="23"/>
  <c r="B20" i="23"/>
  <c r="D34" i="23"/>
  <c r="D30" i="23"/>
  <c r="D36" i="23"/>
  <c r="D32" i="23"/>
  <c r="D37" i="23"/>
  <c r="D48" i="23"/>
  <c r="B76" i="23"/>
  <c r="B100" i="23"/>
  <c r="D40" i="24"/>
  <c r="B84" i="24"/>
  <c r="B88" i="24" s="1"/>
  <c r="B17" i="24" s="1"/>
  <c r="D51" i="24"/>
  <c r="B84" i="23"/>
  <c r="B88" i="23" s="1"/>
  <c r="B17" i="23" s="1"/>
  <c r="C88" i="23"/>
  <c r="D31" i="23"/>
  <c r="D35" i="23"/>
  <c r="D39" i="23"/>
  <c r="D46" i="23"/>
  <c r="D50" i="23"/>
  <c r="B8" i="21"/>
  <c r="E148" i="21"/>
  <c r="C134" i="21"/>
  <c r="D129" i="21"/>
  <c r="N122" i="21"/>
  <c r="M122" i="21"/>
  <c r="L122" i="21"/>
  <c r="K122" i="21"/>
  <c r="J122" i="21"/>
  <c r="I122" i="21"/>
  <c r="H122" i="21"/>
  <c r="G122" i="21"/>
  <c r="F122" i="21"/>
  <c r="E122" i="21"/>
  <c r="D122" i="21"/>
  <c r="C122" i="21"/>
  <c r="B118" i="21"/>
  <c r="B122" i="21" s="1"/>
  <c r="N111" i="21"/>
  <c r="M111" i="21"/>
  <c r="L111" i="21"/>
  <c r="K111" i="21"/>
  <c r="J111" i="21"/>
  <c r="I111" i="21"/>
  <c r="H111" i="21"/>
  <c r="G111" i="21"/>
  <c r="F111" i="21"/>
  <c r="E111" i="21"/>
  <c r="D111" i="21"/>
  <c r="C111" i="21"/>
  <c r="B110" i="21"/>
  <c r="B109" i="21"/>
  <c r="B108" i="21"/>
  <c r="B107" i="21"/>
  <c r="N100" i="21"/>
  <c r="M100" i="21"/>
  <c r="L100" i="21"/>
  <c r="K100" i="21"/>
  <c r="J100" i="21"/>
  <c r="I100" i="21"/>
  <c r="H100" i="21"/>
  <c r="G100" i="21"/>
  <c r="F100" i="21"/>
  <c r="E100" i="21"/>
  <c r="D100" i="21"/>
  <c r="C100" i="21"/>
  <c r="B99" i="21"/>
  <c r="B98" i="21"/>
  <c r="B97" i="21"/>
  <c r="B96" i="21"/>
  <c r="B95" i="21"/>
  <c r="N88" i="21"/>
  <c r="M88" i="21"/>
  <c r="L88" i="21"/>
  <c r="K88" i="21"/>
  <c r="J88" i="21"/>
  <c r="I88" i="21"/>
  <c r="H88" i="21"/>
  <c r="G88" i="21"/>
  <c r="F88" i="21"/>
  <c r="D88" i="21"/>
  <c r="C88" i="21"/>
  <c r="B87" i="21"/>
  <c r="B86" i="21"/>
  <c r="B85" i="21"/>
  <c r="E84" i="21"/>
  <c r="B84" i="21" s="1"/>
  <c r="N76" i="21"/>
  <c r="M76" i="21"/>
  <c r="L76" i="21"/>
  <c r="K76" i="21"/>
  <c r="J76" i="21"/>
  <c r="I76" i="21"/>
  <c r="H76" i="21"/>
  <c r="G76" i="21"/>
  <c r="F76" i="21"/>
  <c r="E76" i="21"/>
  <c r="D76" i="21"/>
  <c r="C76" i="21"/>
  <c r="B75" i="21"/>
  <c r="B74" i="21"/>
  <c r="B73" i="21"/>
  <c r="B72" i="21"/>
  <c r="B71" i="21"/>
  <c r="B70" i="21"/>
  <c r="B69" i="21"/>
  <c r="B68" i="21"/>
  <c r="B67" i="21"/>
  <c r="B66" i="21"/>
  <c r="B65" i="21"/>
  <c r="B64" i="21"/>
  <c r="B63" i="21"/>
  <c r="B62" i="21"/>
  <c r="B61" i="21"/>
  <c r="B60" i="21"/>
  <c r="B59" i="21"/>
  <c r="B58" i="21"/>
  <c r="B57" i="21"/>
  <c r="B56" i="21"/>
  <c r="C51" i="21"/>
  <c r="B51" i="21"/>
  <c r="C40" i="21"/>
  <c r="B40" i="21"/>
  <c r="D48" i="21" s="1"/>
  <c r="B100" i="21" l="1"/>
  <c r="B88" i="21"/>
  <c r="D30" i="21"/>
  <c r="D35" i="21"/>
  <c r="D50" i="21"/>
  <c r="D36" i="21"/>
  <c r="D32" i="21"/>
  <c r="D38" i="21"/>
  <c r="D46" i="21"/>
  <c r="E88" i="21"/>
  <c r="D31" i="21"/>
  <c r="B111" i="21"/>
  <c r="D28" i="21"/>
  <c r="D34" i="21"/>
  <c r="D39" i="21"/>
  <c r="D49" i="21"/>
  <c r="B76" i="21"/>
  <c r="D40" i="23"/>
  <c r="D51" i="23"/>
  <c r="B19" i="21"/>
  <c r="D47" i="21"/>
  <c r="D29" i="21"/>
  <c r="D33" i="21"/>
  <c r="D37" i="21"/>
  <c r="B86" i="19"/>
  <c r="B75" i="19"/>
  <c r="B74" i="19"/>
  <c r="B73" i="19"/>
  <c r="B72" i="19"/>
  <c r="B71" i="19"/>
  <c r="B70" i="19"/>
  <c r="B69" i="19"/>
  <c r="B68" i="19"/>
  <c r="B67" i="19"/>
  <c r="B66" i="19"/>
  <c r="B65" i="19"/>
  <c r="B64" i="19"/>
  <c r="B63" i="19"/>
  <c r="B62" i="19"/>
  <c r="B61" i="19"/>
  <c r="B60" i="19"/>
  <c r="B59" i="19"/>
  <c r="B58" i="19"/>
  <c r="B57" i="19"/>
  <c r="B56" i="19"/>
  <c r="E146" i="19"/>
  <c r="D129" i="19"/>
  <c r="N122" i="19"/>
  <c r="M122" i="19"/>
  <c r="L122" i="19"/>
  <c r="K122" i="19"/>
  <c r="J122" i="19"/>
  <c r="I122" i="19"/>
  <c r="H122" i="19"/>
  <c r="G122" i="19"/>
  <c r="F122" i="19"/>
  <c r="E122" i="19"/>
  <c r="D122" i="19"/>
  <c r="C122" i="19"/>
  <c r="B118" i="19"/>
  <c r="B122" i="19" s="1"/>
  <c r="N111" i="19"/>
  <c r="M111" i="19"/>
  <c r="L111" i="19"/>
  <c r="K111" i="19"/>
  <c r="J111" i="19"/>
  <c r="I111" i="19"/>
  <c r="H111" i="19"/>
  <c r="G111" i="19"/>
  <c r="F111" i="19"/>
  <c r="E111" i="19"/>
  <c r="D111" i="19"/>
  <c r="C111" i="19"/>
  <c r="B110" i="19"/>
  <c r="B109" i="19"/>
  <c r="B108" i="19"/>
  <c r="B107" i="19"/>
  <c r="N100" i="19"/>
  <c r="M100" i="19"/>
  <c r="L100" i="19"/>
  <c r="K100" i="19"/>
  <c r="J100" i="19"/>
  <c r="I100" i="19"/>
  <c r="H100" i="19"/>
  <c r="G100" i="19"/>
  <c r="F100" i="19"/>
  <c r="E100" i="19"/>
  <c r="D100" i="19"/>
  <c r="C100" i="19"/>
  <c r="B99" i="19"/>
  <c r="B98" i="19"/>
  <c r="B97" i="19"/>
  <c r="B96" i="19"/>
  <c r="B95" i="19"/>
  <c r="N88" i="19"/>
  <c r="M88" i="19"/>
  <c r="L88" i="19"/>
  <c r="K88" i="19"/>
  <c r="J88" i="19"/>
  <c r="I88" i="19"/>
  <c r="H88" i="19"/>
  <c r="G88" i="19"/>
  <c r="F88" i="19"/>
  <c r="D88" i="19"/>
  <c r="C88" i="19"/>
  <c r="B87" i="19"/>
  <c r="B85" i="19"/>
  <c r="E84" i="19"/>
  <c r="E88" i="19" s="1"/>
  <c r="N76" i="19"/>
  <c r="M76" i="19"/>
  <c r="L76" i="19"/>
  <c r="K76" i="19"/>
  <c r="J76" i="19"/>
  <c r="I76" i="19"/>
  <c r="H76" i="19"/>
  <c r="G76" i="19"/>
  <c r="F76" i="19"/>
  <c r="E76" i="19"/>
  <c r="D76" i="19"/>
  <c r="C76" i="19"/>
  <c r="C51" i="19"/>
  <c r="B51" i="19"/>
  <c r="C40" i="19"/>
  <c r="B40" i="19"/>
  <c r="D50" i="19" s="1"/>
  <c r="B19" i="19"/>
  <c r="B22" i="19" s="1"/>
  <c r="B8" i="19"/>
  <c r="D51" i="21" l="1"/>
  <c r="B20" i="21"/>
  <c r="B21" i="21"/>
  <c r="B22" i="21"/>
  <c r="D40" i="21"/>
  <c r="D28" i="19"/>
  <c r="B76" i="19"/>
  <c r="D32" i="19"/>
  <c r="B100" i="19"/>
  <c r="B84" i="19"/>
  <c r="D36" i="19"/>
  <c r="B111" i="19"/>
  <c r="D47" i="19"/>
  <c r="B20" i="19"/>
  <c r="D29" i="19"/>
  <c r="D33" i="19"/>
  <c r="D37" i="19"/>
  <c r="D48" i="19"/>
  <c r="B21" i="19"/>
  <c r="D30" i="19"/>
  <c r="D34" i="19"/>
  <c r="D38" i="19"/>
  <c r="D49" i="19"/>
  <c r="D31" i="19"/>
  <c r="D35" i="19"/>
  <c r="D39" i="19"/>
  <c r="D46" i="19"/>
  <c r="B88" i="19"/>
  <c r="B67" i="18"/>
  <c r="D40" i="19" l="1"/>
  <c r="D51" i="19"/>
  <c r="B8" i="18"/>
  <c r="B20" i="18"/>
  <c r="D21" i="18"/>
  <c r="B21" i="18" s="1"/>
  <c r="D22" i="18"/>
  <c r="B22" i="18" s="1"/>
  <c r="B40" i="18"/>
  <c r="D29" i="18" s="1"/>
  <c r="C40" i="18"/>
  <c r="B51" i="18"/>
  <c r="C51" i="18"/>
  <c r="B56" i="18"/>
  <c r="B57" i="18"/>
  <c r="B58" i="18"/>
  <c r="B59" i="18"/>
  <c r="B60" i="18"/>
  <c r="B61" i="18"/>
  <c r="B62" i="18"/>
  <c r="B63" i="18"/>
  <c r="B64" i="18"/>
  <c r="B65" i="18"/>
  <c r="B66" i="18"/>
  <c r="B68" i="18"/>
  <c r="B69" i="18"/>
  <c r="B70" i="18"/>
  <c r="B71" i="18"/>
  <c r="B72" i="18"/>
  <c r="B73" i="18"/>
  <c r="B74" i="18"/>
  <c r="B75" i="18"/>
  <c r="C76" i="18"/>
  <c r="D76" i="18"/>
  <c r="E76" i="18"/>
  <c r="F76" i="18"/>
  <c r="G76" i="18"/>
  <c r="H76" i="18"/>
  <c r="I76" i="18"/>
  <c r="B84" i="18"/>
  <c r="B85" i="18"/>
  <c r="B86" i="18"/>
  <c r="B87" i="18"/>
  <c r="C88" i="18"/>
  <c r="D88" i="18"/>
  <c r="E88" i="18"/>
  <c r="F88" i="18"/>
  <c r="G88" i="18"/>
  <c r="H88" i="18"/>
  <c r="I88" i="18"/>
  <c r="B95" i="18"/>
  <c r="B96" i="18"/>
  <c r="B97" i="18"/>
  <c r="B98" i="18"/>
  <c r="B99" i="18"/>
  <c r="C100" i="18"/>
  <c r="D100" i="18"/>
  <c r="E100" i="18"/>
  <c r="F100" i="18"/>
  <c r="G100" i="18"/>
  <c r="H100" i="18"/>
  <c r="I100" i="18"/>
  <c r="B107" i="18"/>
  <c r="B108" i="18"/>
  <c r="B109" i="18"/>
  <c r="B110" i="18"/>
  <c r="C111" i="18"/>
  <c r="D111" i="18"/>
  <c r="E111" i="18"/>
  <c r="F111" i="18"/>
  <c r="G111" i="18"/>
  <c r="H111" i="18"/>
  <c r="I111" i="18"/>
  <c r="B118" i="18"/>
  <c r="B122" i="18" s="1"/>
  <c r="C122" i="18"/>
  <c r="D122" i="18"/>
  <c r="E122" i="18"/>
  <c r="F122" i="18"/>
  <c r="G122" i="18"/>
  <c r="H122" i="18"/>
  <c r="I122" i="18"/>
  <c r="D130" i="18"/>
  <c r="E147" i="18"/>
  <c r="B18" i="18" s="1"/>
  <c r="N122" i="18"/>
  <c r="M122" i="18"/>
  <c r="L122" i="18"/>
  <c r="K122" i="18"/>
  <c r="J122" i="18"/>
  <c r="N111" i="18"/>
  <c r="M111" i="18"/>
  <c r="L111" i="18"/>
  <c r="K111" i="18"/>
  <c r="J111" i="18"/>
  <c r="N100" i="18"/>
  <c r="M100" i="18"/>
  <c r="L100" i="18"/>
  <c r="K100" i="18"/>
  <c r="J100" i="18"/>
  <c r="N88" i="18"/>
  <c r="M88" i="18"/>
  <c r="L88" i="18"/>
  <c r="K88" i="18"/>
  <c r="J88" i="18"/>
  <c r="N76" i="18"/>
  <c r="M76" i="18"/>
  <c r="L76" i="18"/>
  <c r="K76" i="18"/>
  <c r="J76" i="18"/>
  <c r="B111" i="18" l="1"/>
  <c r="B100" i="18"/>
  <c r="B88" i="18"/>
  <c r="B76" i="18"/>
  <c r="D50" i="18"/>
  <c r="D46" i="18"/>
  <c r="D39" i="18"/>
  <c r="D35" i="18"/>
  <c r="D31" i="18"/>
  <c r="D47" i="18"/>
  <c r="D36" i="18"/>
  <c r="D32" i="18"/>
  <c r="D28" i="18"/>
  <c r="D49" i="18"/>
  <c r="D38" i="18"/>
  <c r="D34" i="18"/>
  <c r="D30" i="18"/>
  <c r="D48" i="18"/>
  <c r="D37" i="18"/>
  <c r="D33" i="18"/>
  <c r="C76" i="17"/>
  <c r="D76" i="17"/>
  <c r="E76" i="17"/>
  <c r="F76" i="17"/>
  <c r="G76" i="17"/>
  <c r="H76" i="17"/>
  <c r="I76" i="17"/>
  <c r="J76" i="17"/>
  <c r="K76" i="17"/>
  <c r="L76" i="17"/>
  <c r="M76" i="17"/>
  <c r="N76" i="17"/>
  <c r="D51" i="18" l="1"/>
  <c r="D40" i="18"/>
  <c r="E148" i="17"/>
  <c r="B18" i="17" s="1"/>
  <c r="D130" i="17"/>
  <c r="N122" i="17"/>
  <c r="M122" i="17"/>
  <c r="L122" i="17"/>
  <c r="K122" i="17"/>
  <c r="J122" i="17"/>
  <c r="I122" i="17"/>
  <c r="H122" i="17"/>
  <c r="G122" i="17"/>
  <c r="F122" i="17"/>
  <c r="E122" i="17"/>
  <c r="D122" i="17"/>
  <c r="C122" i="17"/>
  <c r="B118" i="17"/>
  <c r="B122" i="17" s="1"/>
  <c r="N111" i="17"/>
  <c r="M111" i="17"/>
  <c r="L111" i="17"/>
  <c r="K111" i="17"/>
  <c r="J111" i="17"/>
  <c r="I111" i="17"/>
  <c r="H111" i="17"/>
  <c r="G111" i="17"/>
  <c r="F111" i="17"/>
  <c r="E111" i="17"/>
  <c r="D111" i="17"/>
  <c r="C111" i="17"/>
  <c r="B110" i="17"/>
  <c r="B109" i="17"/>
  <c r="B108" i="17"/>
  <c r="B107" i="17"/>
  <c r="N100" i="17"/>
  <c r="M100" i="17"/>
  <c r="L100" i="17"/>
  <c r="K100" i="17"/>
  <c r="J100" i="17"/>
  <c r="I100" i="17"/>
  <c r="H100" i="17"/>
  <c r="G100" i="17"/>
  <c r="F100" i="17"/>
  <c r="E100" i="17"/>
  <c r="D100" i="17"/>
  <c r="C100" i="17"/>
  <c r="B99" i="17"/>
  <c r="B98" i="17"/>
  <c r="B97" i="17"/>
  <c r="B96" i="17"/>
  <c r="B95" i="17"/>
  <c r="N88" i="17"/>
  <c r="M88" i="17"/>
  <c r="L88" i="17"/>
  <c r="K88" i="17"/>
  <c r="J88" i="17"/>
  <c r="I88" i="17"/>
  <c r="H88" i="17"/>
  <c r="G88" i="17"/>
  <c r="F88" i="17"/>
  <c r="E88" i="17"/>
  <c r="D88" i="17"/>
  <c r="C88" i="17"/>
  <c r="B87" i="17"/>
  <c r="B86" i="17"/>
  <c r="B85" i="17"/>
  <c r="B84" i="17"/>
  <c r="B76" i="17"/>
  <c r="B75" i="17"/>
  <c r="B74" i="17"/>
  <c r="B73" i="17"/>
  <c r="B72" i="17"/>
  <c r="B71" i="17"/>
  <c r="B70" i="17"/>
  <c r="B69" i="17"/>
  <c r="B68" i="17"/>
  <c r="B66" i="17"/>
  <c r="B65" i="17"/>
  <c r="B64" i="17"/>
  <c r="B63" i="17"/>
  <c r="B62" i="17"/>
  <c r="B61" i="17"/>
  <c r="B60" i="17"/>
  <c r="B59" i="17"/>
  <c r="B58" i="17"/>
  <c r="B57" i="17"/>
  <c r="B56" i="17"/>
  <c r="C51" i="17"/>
  <c r="B51" i="17"/>
  <c r="C40" i="17"/>
  <c r="B40" i="17"/>
  <c r="D49" i="17" s="1"/>
  <c r="B22" i="17"/>
  <c r="B21" i="17"/>
  <c r="B20" i="17"/>
  <c r="B17" i="17" l="1"/>
  <c r="B88" i="17"/>
  <c r="B111" i="17"/>
  <c r="B100" i="17"/>
  <c r="D28" i="17"/>
  <c r="D32" i="17"/>
  <c r="D36" i="17"/>
  <c r="D29" i="17"/>
  <c r="D37" i="17"/>
  <c r="D50" i="17"/>
  <c r="D30" i="17"/>
  <c r="D34" i="17"/>
  <c r="D38" i="17"/>
  <c r="D46" i="17"/>
  <c r="D33" i="17"/>
  <c r="D31" i="17"/>
  <c r="D35" i="17"/>
  <c r="D39" i="17"/>
  <c r="D48" i="17"/>
  <c r="D47" i="17"/>
  <c r="B22" i="16"/>
  <c r="B21" i="16"/>
  <c r="B20" i="16"/>
  <c r="D51" i="17" l="1"/>
  <c r="D40" i="17"/>
  <c r="B117" i="16"/>
  <c r="B84" i="16" l="1"/>
  <c r="E149" i="16"/>
  <c r="B18" i="16" s="1"/>
  <c r="D129" i="16"/>
  <c r="N121" i="16"/>
  <c r="M121" i="16"/>
  <c r="L121" i="16"/>
  <c r="K121" i="16"/>
  <c r="J121" i="16"/>
  <c r="I121" i="16"/>
  <c r="H121" i="16"/>
  <c r="G121" i="16"/>
  <c r="F121" i="16"/>
  <c r="E121" i="16"/>
  <c r="D121" i="16"/>
  <c r="C121" i="16"/>
  <c r="B121" i="16"/>
  <c r="N110" i="16"/>
  <c r="M110" i="16"/>
  <c r="L110" i="16"/>
  <c r="K110" i="16"/>
  <c r="J110" i="16"/>
  <c r="I110" i="16"/>
  <c r="H110" i="16"/>
  <c r="G110" i="16"/>
  <c r="F110" i="16"/>
  <c r="E110" i="16"/>
  <c r="D110" i="16"/>
  <c r="C110" i="16"/>
  <c r="B109" i="16"/>
  <c r="B108" i="16"/>
  <c r="B107" i="16"/>
  <c r="B106" i="16"/>
  <c r="N99" i="16"/>
  <c r="M99" i="16"/>
  <c r="L99" i="16"/>
  <c r="K99" i="16"/>
  <c r="J99" i="16"/>
  <c r="I99" i="16"/>
  <c r="H99" i="16"/>
  <c r="G99" i="16"/>
  <c r="F99" i="16"/>
  <c r="E99" i="16"/>
  <c r="D99" i="16"/>
  <c r="C99" i="16"/>
  <c r="B98" i="16"/>
  <c r="B97" i="16"/>
  <c r="B96" i="16"/>
  <c r="B95" i="16"/>
  <c r="B94" i="16"/>
  <c r="N87" i="16"/>
  <c r="M87" i="16"/>
  <c r="L87" i="16"/>
  <c r="K87" i="16"/>
  <c r="J87" i="16"/>
  <c r="I87" i="16"/>
  <c r="H87" i="16"/>
  <c r="G87" i="16"/>
  <c r="F87" i="16"/>
  <c r="E87" i="16"/>
  <c r="D87" i="16"/>
  <c r="C87" i="16"/>
  <c r="B86" i="16"/>
  <c r="B85" i="16"/>
  <c r="B83" i="16"/>
  <c r="N75" i="16"/>
  <c r="M75" i="16"/>
  <c r="L75" i="16"/>
  <c r="K75" i="16"/>
  <c r="J75" i="16"/>
  <c r="I75" i="16"/>
  <c r="H75" i="16"/>
  <c r="G75" i="16"/>
  <c r="F75" i="16"/>
  <c r="E75" i="16"/>
  <c r="D75" i="16"/>
  <c r="C75" i="16"/>
  <c r="B74" i="16"/>
  <c r="B73" i="16"/>
  <c r="B72" i="16"/>
  <c r="B71" i="16"/>
  <c r="B70" i="16"/>
  <c r="B69" i="16"/>
  <c r="B68" i="16"/>
  <c r="B67" i="16"/>
  <c r="B66" i="16"/>
  <c r="B65" i="16"/>
  <c r="B64" i="16"/>
  <c r="B63" i="16"/>
  <c r="B62" i="16"/>
  <c r="B61" i="16"/>
  <c r="B60" i="16"/>
  <c r="B59" i="16"/>
  <c r="B58" i="16"/>
  <c r="B57" i="16"/>
  <c r="B56" i="16"/>
  <c r="C51" i="16"/>
  <c r="B51" i="16"/>
  <c r="C40" i="16"/>
  <c r="B40" i="16"/>
  <c r="D48" i="16" s="1"/>
  <c r="D39" i="16" l="1"/>
  <c r="B87" i="16"/>
  <c r="B110" i="16"/>
  <c r="B17" i="16"/>
  <c r="B99" i="16"/>
  <c r="B75" i="16"/>
  <c r="D28" i="16"/>
  <c r="D50" i="16"/>
  <c r="D31" i="16"/>
  <c r="D35" i="16"/>
  <c r="D46" i="16"/>
  <c r="D30" i="16"/>
  <c r="D34" i="16"/>
  <c r="D38" i="16"/>
  <c r="D49" i="16"/>
  <c r="D32" i="16"/>
  <c r="D36" i="16"/>
  <c r="D47" i="16"/>
  <c r="D29" i="16"/>
  <c r="D33" i="16"/>
  <c r="D37" i="16"/>
  <c r="B56" i="15"/>
  <c r="B57" i="15"/>
  <c r="B58" i="15"/>
  <c r="B59" i="15"/>
  <c r="B60" i="15"/>
  <c r="B61" i="15"/>
  <c r="B62" i="15"/>
  <c r="B63" i="15"/>
  <c r="B64" i="15"/>
  <c r="B65" i="15"/>
  <c r="B66" i="15"/>
  <c r="B67" i="15"/>
  <c r="B68" i="15"/>
  <c r="B69" i="15"/>
  <c r="B70" i="15"/>
  <c r="B71" i="15"/>
  <c r="B72" i="15"/>
  <c r="B73" i="15"/>
  <c r="B74" i="15"/>
  <c r="D40" i="16" l="1"/>
  <c r="D51" i="16"/>
  <c r="E153" i="15"/>
  <c r="B18" i="15" s="1"/>
  <c r="D131" i="15"/>
  <c r="N121" i="15"/>
  <c r="M121" i="15"/>
  <c r="L121" i="15"/>
  <c r="K121" i="15"/>
  <c r="J121" i="15"/>
  <c r="I121" i="15"/>
  <c r="H121" i="15"/>
  <c r="G121" i="15"/>
  <c r="F121" i="15"/>
  <c r="E121" i="15"/>
  <c r="D121" i="15"/>
  <c r="C121" i="15"/>
  <c r="B121" i="15"/>
  <c r="N110" i="15"/>
  <c r="M110" i="15"/>
  <c r="L110" i="15"/>
  <c r="K110" i="15"/>
  <c r="J110" i="15"/>
  <c r="I110" i="15"/>
  <c r="H110" i="15"/>
  <c r="G110" i="15"/>
  <c r="F110" i="15"/>
  <c r="E110" i="15"/>
  <c r="D110" i="15"/>
  <c r="C110" i="15"/>
  <c r="B109" i="15"/>
  <c r="B108" i="15"/>
  <c r="B107" i="15"/>
  <c r="B106" i="15"/>
  <c r="N99" i="15"/>
  <c r="M99" i="15"/>
  <c r="L99" i="15"/>
  <c r="K99" i="15"/>
  <c r="J99" i="15"/>
  <c r="I99" i="15"/>
  <c r="H99" i="15"/>
  <c r="G99" i="15"/>
  <c r="F99" i="15"/>
  <c r="E99" i="15"/>
  <c r="D99" i="15"/>
  <c r="C99" i="15"/>
  <c r="B98" i="15"/>
  <c r="B97" i="15"/>
  <c r="B96" i="15"/>
  <c r="B95" i="15"/>
  <c r="B94" i="15"/>
  <c r="N87" i="15"/>
  <c r="M87" i="15"/>
  <c r="L87" i="15"/>
  <c r="K87" i="15"/>
  <c r="J87" i="15"/>
  <c r="I87" i="15"/>
  <c r="H87" i="15"/>
  <c r="G87" i="15"/>
  <c r="F87" i="15"/>
  <c r="E87" i="15"/>
  <c r="D87" i="15"/>
  <c r="C87" i="15"/>
  <c r="B86" i="15"/>
  <c r="B85" i="15"/>
  <c r="B84" i="15"/>
  <c r="B83" i="15"/>
  <c r="N75" i="15"/>
  <c r="M75" i="15"/>
  <c r="L75" i="15"/>
  <c r="K75" i="15"/>
  <c r="J75" i="15"/>
  <c r="I75" i="15"/>
  <c r="H75" i="15"/>
  <c r="G75" i="15"/>
  <c r="F75" i="15"/>
  <c r="E75" i="15"/>
  <c r="D75" i="15"/>
  <c r="C75" i="15"/>
  <c r="C51" i="15"/>
  <c r="B51" i="15"/>
  <c r="B40" i="15"/>
  <c r="D48" i="15" s="1"/>
  <c r="B22" i="15"/>
  <c r="B21" i="15"/>
  <c r="B20" i="15"/>
  <c r="B8" i="15"/>
  <c r="D29" i="15" l="1"/>
  <c r="B87" i="15"/>
  <c r="B17" i="15"/>
  <c r="D28" i="15"/>
  <c r="B110" i="15"/>
  <c r="B99" i="15"/>
  <c r="B75" i="15"/>
  <c r="D32" i="15"/>
  <c r="D33" i="15"/>
  <c r="D30" i="15"/>
  <c r="D34" i="15"/>
  <c r="D31" i="15"/>
  <c r="D35" i="15"/>
  <c r="D39" i="15"/>
  <c r="D50" i="15"/>
  <c r="D36" i="15"/>
  <c r="D37" i="15"/>
  <c r="D46" i="15"/>
  <c r="D38" i="15"/>
  <c r="D49" i="15"/>
  <c r="D47" i="15"/>
  <c r="B20" i="14"/>
  <c r="B40" i="14"/>
  <c r="D28" i="14" s="1"/>
  <c r="B8" i="14"/>
  <c r="E153" i="14"/>
  <c r="D51" i="15" l="1"/>
  <c r="D40" i="15"/>
  <c r="D131" i="14"/>
  <c r="N121" i="14"/>
  <c r="M121" i="14"/>
  <c r="L121" i="14"/>
  <c r="K121" i="14"/>
  <c r="J121" i="14"/>
  <c r="I121" i="14"/>
  <c r="H121" i="14"/>
  <c r="G121" i="14"/>
  <c r="F121" i="14"/>
  <c r="E121" i="14"/>
  <c r="D121" i="14"/>
  <c r="C121" i="14"/>
  <c r="B121" i="14"/>
  <c r="N110" i="14"/>
  <c r="M110" i="14"/>
  <c r="L110" i="14"/>
  <c r="K110" i="14"/>
  <c r="J110" i="14"/>
  <c r="I110" i="14"/>
  <c r="H110" i="14"/>
  <c r="G110" i="14"/>
  <c r="F110" i="14"/>
  <c r="E110" i="14"/>
  <c r="D110" i="14"/>
  <c r="C110" i="14"/>
  <c r="B109" i="14"/>
  <c r="B108" i="14"/>
  <c r="B107" i="14"/>
  <c r="B106" i="14"/>
  <c r="N99" i="14"/>
  <c r="M99" i="14"/>
  <c r="L99" i="14"/>
  <c r="K99" i="14"/>
  <c r="J99" i="14"/>
  <c r="I99" i="14"/>
  <c r="H99" i="14"/>
  <c r="G99" i="14"/>
  <c r="F99" i="14"/>
  <c r="E99" i="14"/>
  <c r="D99" i="14"/>
  <c r="C99" i="14"/>
  <c r="B98" i="14"/>
  <c r="B97" i="14"/>
  <c r="B96" i="14"/>
  <c r="B95" i="14"/>
  <c r="B94" i="14"/>
  <c r="N87" i="14"/>
  <c r="M87" i="14"/>
  <c r="L87" i="14"/>
  <c r="K87" i="14"/>
  <c r="J87" i="14"/>
  <c r="I87" i="14"/>
  <c r="H87" i="14"/>
  <c r="G87" i="14"/>
  <c r="F87" i="14"/>
  <c r="E87" i="14"/>
  <c r="D87" i="14"/>
  <c r="C87" i="14"/>
  <c r="B86" i="14"/>
  <c r="B85" i="14"/>
  <c r="B84" i="14"/>
  <c r="B83" i="14"/>
  <c r="N75" i="14"/>
  <c r="M75" i="14"/>
  <c r="L75" i="14"/>
  <c r="K75" i="14"/>
  <c r="J75" i="14"/>
  <c r="I75" i="14"/>
  <c r="H75" i="14"/>
  <c r="G75" i="14"/>
  <c r="F75" i="14"/>
  <c r="E75" i="14"/>
  <c r="D75" i="14"/>
  <c r="C75" i="14"/>
  <c r="B74" i="14"/>
  <c r="B73" i="14"/>
  <c r="B72" i="14"/>
  <c r="B71" i="14"/>
  <c r="B70" i="14"/>
  <c r="B69" i="14"/>
  <c r="B68" i="14"/>
  <c r="B67" i="14"/>
  <c r="B66" i="14"/>
  <c r="B65" i="14"/>
  <c r="B64" i="14"/>
  <c r="B63" i="14"/>
  <c r="B62" i="14"/>
  <c r="B61" i="14"/>
  <c r="B60" i="14"/>
  <c r="B59" i="14"/>
  <c r="B58" i="14"/>
  <c r="B57" i="14"/>
  <c r="B56" i="14"/>
  <c r="C51" i="14"/>
  <c r="B51" i="14"/>
  <c r="C40" i="14"/>
  <c r="D48" i="14"/>
  <c r="B22" i="14"/>
  <c r="B21" i="14"/>
  <c r="B18" i="14"/>
  <c r="B75" i="14" l="1"/>
  <c r="D31" i="14"/>
  <c r="D35" i="14"/>
  <c r="D29" i="14"/>
  <c r="D33" i="14"/>
  <c r="D37" i="14"/>
  <c r="D50" i="14"/>
  <c r="D32" i="14"/>
  <c r="D36" i="14"/>
  <c r="D30" i="14"/>
  <c r="D34" i="14"/>
  <c r="D39" i="14"/>
  <c r="B17" i="14"/>
  <c r="B87" i="14"/>
  <c r="B99" i="14"/>
  <c r="D46" i="14"/>
  <c r="B110" i="14"/>
  <c r="D38" i="14"/>
  <c r="D49" i="14"/>
  <c r="D47" i="14"/>
  <c r="B22" i="13"/>
  <c r="B21" i="13"/>
  <c r="B20" i="13"/>
  <c r="B87" i="13"/>
  <c r="B86" i="13"/>
  <c r="B85" i="13"/>
  <c r="B84" i="13"/>
  <c r="C51" i="13"/>
  <c r="B51" i="13"/>
  <c r="B17" i="13" l="1"/>
  <c r="D51" i="14"/>
  <c r="D40" i="14"/>
  <c r="C76" i="13"/>
  <c r="D76" i="13"/>
  <c r="E76" i="13"/>
  <c r="F76" i="13"/>
  <c r="G76" i="13"/>
  <c r="H76" i="13"/>
  <c r="I76" i="13"/>
  <c r="J76" i="13"/>
  <c r="K76" i="13"/>
  <c r="L76" i="13"/>
  <c r="M76" i="13"/>
  <c r="N76" i="13"/>
  <c r="E154" i="13" l="1"/>
  <c r="B18" i="13" s="1"/>
  <c r="D132" i="13"/>
  <c r="N122" i="13"/>
  <c r="M122" i="13"/>
  <c r="L122" i="13"/>
  <c r="K122" i="13"/>
  <c r="J122" i="13"/>
  <c r="I122" i="13"/>
  <c r="H122" i="13"/>
  <c r="G122" i="13"/>
  <c r="F122" i="13"/>
  <c r="E122" i="13"/>
  <c r="D122" i="13"/>
  <c r="C122" i="13"/>
  <c r="B122" i="13"/>
  <c r="N111" i="13"/>
  <c r="M111" i="13"/>
  <c r="L111" i="13"/>
  <c r="K111" i="13"/>
  <c r="J111" i="13"/>
  <c r="I111" i="13"/>
  <c r="H111" i="13"/>
  <c r="G111" i="13"/>
  <c r="F111" i="13"/>
  <c r="E111" i="13"/>
  <c r="D111" i="13"/>
  <c r="C111" i="13"/>
  <c r="B110" i="13"/>
  <c r="B109" i="13"/>
  <c r="B108" i="13"/>
  <c r="B107" i="13"/>
  <c r="N100" i="13"/>
  <c r="M100" i="13"/>
  <c r="L100" i="13"/>
  <c r="K100" i="13"/>
  <c r="J100" i="13"/>
  <c r="I100" i="13"/>
  <c r="H100" i="13"/>
  <c r="G100" i="13"/>
  <c r="F100" i="13"/>
  <c r="E100" i="13"/>
  <c r="D100" i="13"/>
  <c r="C100" i="13"/>
  <c r="B99" i="13"/>
  <c r="B98" i="13"/>
  <c r="B97" i="13"/>
  <c r="B96" i="13"/>
  <c r="B95" i="13"/>
  <c r="N88" i="13"/>
  <c r="M88" i="13"/>
  <c r="L88" i="13"/>
  <c r="K88" i="13"/>
  <c r="J88" i="13"/>
  <c r="I88" i="13"/>
  <c r="H88" i="13"/>
  <c r="G88" i="13"/>
  <c r="F88" i="13"/>
  <c r="E88" i="13"/>
  <c r="D88" i="13"/>
  <c r="C88" i="13"/>
  <c r="B88" i="13"/>
  <c r="B76" i="13"/>
  <c r="B75" i="13"/>
  <c r="B74" i="13"/>
  <c r="B73" i="13"/>
  <c r="B72" i="13"/>
  <c r="B71" i="13"/>
  <c r="B70" i="13"/>
  <c r="B69" i="13"/>
  <c r="B68" i="13"/>
  <c r="B66" i="13"/>
  <c r="B65" i="13"/>
  <c r="B64" i="13"/>
  <c r="B63" i="13"/>
  <c r="B62" i="13"/>
  <c r="B61" i="13"/>
  <c r="B60" i="13"/>
  <c r="B59" i="13"/>
  <c r="B58" i="13"/>
  <c r="B57" i="13"/>
  <c r="B56" i="13"/>
  <c r="C40" i="13"/>
  <c r="B40" i="13"/>
  <c r="D46" i="13" s="1"/>
  <c r="D38" i="13" l="1"/>
  <c r="D48" i="13"/>
  <c r="D47" i="13"/>
  <c r="D50" i="13"/>
  <c r="D49" i="13"/>
  <c r="B111" i="13"/>
  <c r="B100" i="13"/>
  <c r="D31" i="13"/>
  <c r="D32" i="13"/>
  <c r="D35" i="13"/>
  <c r="D28" i="13"/>
  <c r="D36" i="13"/>
  <c r="D39" i="13"/>
  <c r="D29" i="13"/>
  <c r="D33" i="13"/>
  <c r="D37" i="13"/>
  <c r="D30" i="13"/>
  <c r="D34" i="13"/>
  <c r="D51" i="13" l="1"/>
  <c r="D40" i="13"/>
  <c r="E123" i="12"/>
  <c r="E122" i="12"/>
  <c r="B10" i="12" l="1"/>
  <c r="B8" i="12"/>
  <c r="E139" i="12" l="1"/>
  <c r="B18" i="12" s="1"/>
  <c r="B19" i="12" s="1"/>
  <c r="D121" i="12"/>
  <c r="N110" i="12"/>
  <c r="M110" i="12"/>
  <c r="L110" i="12"/>
  <c r="K110" i="12"/>
  <c r="J110" i="12"/>
  <c r="I110" i="12"/>
  <c r="H110" i="12"/>
  <c r="G110" i="12"/>
  <c r="F110" i="12"/>
  <c r="E110" i="12"/>
  <c r="D110" i="12"/>
  <c r="C110" i="12"/>
  <c r="B110" i="12"/>
  <c r="N99" i="12"/>
  <c r="M99" i="12"/>
  <c r="L99" i="12"/>
  <c r="K99" i="12"/>
  <c r="J99" i="12"/>
  <c r="I99" i="12"/>
  <c r="H99" i="12"/>
  <c r="G99" i="12"/>
  <c r="F99" i="12"/>
  <c r="E99" i="12"/>
  <c r="D99" i="12"/>
  <c r="C99" i="12"/>
  <c r="B98" i="12"/>
  <c r="B97" i="12"/>
  <c r="B96" i="12"/>
  <c r="B95" i="12"/>
  <c r="N88" i="12"/>
  <c r="M88" i="12"/>
  <c r="L88" i="12"/>
  <c r="K88" i="12"/>
  <c r="J88" i="12"/>
  <c r="I88" i="12"/>
  <c r="H88" i="12"/>
  <c r="G88" i="12"/>
  <c r="F88" i="12"/>
  <c r="E88" i="12"/>
  <c r="D88" i="12"/>
  <c r="C88" i="12"/>
  <c r="B87" i="12"/>
  <c r="B86" i="12"/>
  <c r="B85" i="12"/>
  <c r="B84" i="12"/>
  <c r="B83" i="12"/>
  <c r="N76" i="12"/>
  <c r="M76" i="12"/>
  <c r="L76" i="12"/>
  <c r="K76" i="12"/>
  <c r="J76" i="12"/>
  <c r="I76" i="12"/>
  <c r="H76" i="12"/>
  <c r="G76" i="12"/>
  <c r="F76" i="12"/>
  <c r="E76" i="12"/>
  <c r="D76" i="12"/>
  <c r="C76" i="12"/>
  <c r="B76" i="12"/>
  <c r="N64" i="12"/>
  <c r="M64" i="12"/>
  <c r="L64" i="12"/>
  <c r="K64" i="12"/>
  <c r="J64" i="12"/>
  <c r="I64" i="12"/>
  <c r="H64" i="12"/>
  <c r="G64" i="12"/>
  <c r="F64" i="12"/>
  <c r="E64" i="12"/>
  <c r="D64" i="12"/>
  <c r="C64" i="12"/>
  <c r="B63" i="12"/>
  <c r="B62" i="12"/>
  <c r="B61" i="12"/>
  <c r="B60" i="12"/>
  <c r="B59" i="12"/>
  <c r="B58" i="12"/>
  <c r="B57" i="12"/>
  <c r="B56" i="12"/>
  <c r="B55" i="12"/>
  <c r="B54" i="12"/>
  <c r="B53" i="12"/>
  <c r="B52" i="12"/>
  <c r="B51" i="12"/>
  <c r="B50" i="12"/>
  <c r="B49" i="12"/>
  <c r="B48" i="12"/>
  <c r="B47" i="12"/>
  <c r="B46" i="12"/>
  <c r="B45" i="12"/>
  <c r="C40" i="12"/>
  <c r="B40" i="12"/>
  <c r="B20" i="12" l="1"/>
  <c r="B21" i="12"/>
  <c r="B22" i="12"/>
  <c r="D39" i="12"/>
  <c r="D37" i="12"/>
  <c r="B99" i="12"/>
  <c r="D28" i="12"/>
  <c r="D29" i="12"/>
  <c r="D33" i="12"/>
  <c r="D35" i="12"/>
  <c r="D31" i="12"/>
  <c r="D36" i="12"/>
  <c r="D32" i="12"/>
  <c r="D38" i="12"/>
  <c r="D30" i="12"/>
  <c r="D34" i="12"/>
  <c r="B64" i="12"/>
  <c r="B88" i="12"/>
  <c r="B47" i="11"/>
  <c r="B48" i="11"/>
  <c r="B49" i="11"/>
  <c r="B50" i="11"/>
  <c r="B51" i="11"/>
  <c r="B52" i="11"/>
  <c r="B53" i="11"/>
  <c r="B54" i="11"/>
  <c r="B55" i="11"/>
  <c r="B56" i="11"/>
  <c r="B57" i="11"/>
  <c r="B58" i="11"/>
  <c r="B59" i="11"/>
  <c r="B60" i="11"/>
  <c r="B61" i="11"/>
  <c r="D40" i="12" l="1"/>
  <c r="E121" i="11"/>
  <c r="D120" i="11"/>
  <c r="K62" i="11"/>
  <c r="G62" i="11"/>
  <c r="C62" i="11"/>
  <c r="J62" i="11"/>
  <c r="H62" i="11"/>
  <c r="F62" i="11"/>
  <c r="D62" i="11"/>
  <c r="E62" i="11"/>
  <c r="I62" i="11"/>
  <c r="E135" i="11" l="1"/>
  <c r="B19" i="11" s="1"/>
  <c r="B20" i="11" s="1"/>
  <c r="N108" i="11"/>
  <c r="M108" i="11"/>
  <c r="L108" i="11"/>
  <c r="K108" i="11"/>
  <c r="J108" i="11"/>
  <c r="I108" i="11"/>
  <c r="H108" i="11"/>
  <c r="G108" i="11"/>
  <c r="F108" i="11"/>
  <c r="E108" i="11"/>
  <c r="D108" i="11"/>
  <c r="C108" i="11"/>
  <c r="B108" i="11"/>
  <c r="N97" i="11"/>
  <c r="M97" i="11"/>
  <c r="L97" i="11"/>
  <c r="K97" i="11"/>
  <c r="J97" i="11"/>
  <c r="I97" i="11"/>
  <c r="H97" i="11"/>
  <c r="G97" i="11"/>
  <c r="F97" i="11"/>
  <c r="E97" i="11"/>
  <c r="D97" i="11"/>
  <c r="C97" i="11"/>
  <c r="B96" i="11"/>
  <c r="A96" i="11"/>
  <c r="B95" i="11"/>
  <c r="A95" i="11"/>
  <c r="B94" i="11"/>
  <c r="A94" i="11"/>
  <c r="B93" i="11"/>
  <c r="A93" i="11"/>
  <c r="N86" i="11"/>
  <c r="M86" i="11"/>
  <c r="L86" i="11"/>
  <c r="K86" i="11"/>
  <c r="J86" i="11"/>
  <c r="I86" i="11"/>
  <c r="H86" i="11"/>
  <c r="G86" i="11"/>
  <c r="F86" i="11"/>
  <c r="E86" i="11"/>
  <c r="D86" i="11"/>
  <c r="C86" i="11"/>
  <c r="B85" i="11"/>
  <c r="B84" i="11"/>
  <c r="B83" i="11"/>
  <c r="B82" i="11"/>
  <c r="B81" i="11"/>
  <c r="N74" i="11"/>
  <c r="M74" i="11"/>
  <c r="L74" i="11"/>
  <c r="K74" i="11"/>
  <c r="J74" i="11"/>
  <c r="I74" i="11"/>
  <c r="H74" i="11"/>
  <c r="G74" i="11"/>
  <c r="F74" i="11"/>
  <c r="E74" i="11"/>
  <c r="D74" i="11"/>
  <c r="C74" i="11"/>
  <c r="B74" i="11"/>
  <c r="N62" i="11"/>
  <c r="M62" i="11"/>
  <c r="L62" i="11"/>
  <c r="B46" i="11"/>
  <c r="B45" i="11"/>
  <c r="B44" i="11"/>
  <c r="B43" i="11"/>
  <c r="C38" i="11"/>
  <c r="B38" i="11"/>
  <c r="D38" i="11" s="1"/>
  <c r="D29" i="11"/>
  <c r="B97" i="11" l="1"/>
  <c r="B62" i="11"/>
  <c r="D30" i="11"/>
  <c r="D33" i="11"/>
  <c r="D26" i="11"/>
  <c r="D34" i="11"/>
  <c r="B86" i="11"/>
  <c r="D27" i="11"/>
  <c r="D31" i="11"/>
  <c r="D36" i="11"/>
  <c r="D28" i="11"/>
  <c r="D32" i="11"/>
  <c r="D37" i="11"/>
  <c r="C61" i="10"/>
  <c r="E133" i="10"/>
  <c r="B19" i="10" s="1"/>
  <c r="B20" i="10" s="1"/>
  <c r="N108" i="10"/>
  <c r="M108" i="10"/>
  <c r="L108" i="10"/>
  <c r="K108" i="10"/>
  <c r="J108" i="10"/>
  <c r="I108" i="10"/>
  <c r="G108" i="10"/>
  <c r="F108" i="10"/>
  <c r="E108" i="10"/>
  <c r="D108" i="10"/>
  <c r="C108" i="10"/>
  <c r="B108" i="10"/>
  <c r="N97" i="10"/>
  <c r="M97" i="10"/>
  <c r="L97" i="10"/>
  <c r="K97" i="10"/>
  <c r="J97" i="10"/>
  <c r="I97" i="10"/>
  <c r="H97" i="10"/>
  <c r="G97" i="10"/>
  <c r="F97" i="10"/>
  <c r="E97" i="10"/>
  <c r="D97" i="10"/>
  <c r="C97" i="10"/>
  <c r="B96" i="10"/>
  <c r="A96" i="10"/>
  <c r="B95" i="10"/>
  <c r="A95" i="10"/>
  <c r="B94" i="10"/>
  <c r="A94" i="10"/>
  <c r="B93" i="10"/>
  <c r="A93" i="10"/>
  <c r="N86" i="10"/>
  <c r="M86" i="10"/>
  <c r="L86" i="10"/>
  <c r="K86" i="10"/>
  <c r="J86" i="10"/>
  <c r="I86" i="10"/>
  <c r="H86" i="10"/>
  <c r="H108" i="10" s="1"/>
  <c r="G86" i="10"/>
  <c r="F86" i="10"/>
  <c r="E86" i="10"/>
  <c r="D86" i="10"/>
  <c r="C86" i="10"/>
  <c r="B85" i="10"/>
  <c r="B84" i="10"/>
  <c r="B83" i="10"/>
  <c r="B82" i="10"/>
  <c r="B81" i="10"/>
  <c r="N74" i="10"/>
  <c r="M74" i="10"/>
  <c r="L74" i="10"/>
  <c r="K74" i="10"/>
  <c r="J74" i="10"/>
  <c r="I74" i="10"/>
  <c r="G74" i="10"/>
  <c r="F74" i="10"/>
  <c r="E74" i="10"/>
  <c r="D74" i="10"/>
  <c r="C74" i="10"/>
  <c r="B74" i="10"/>
  <c r="N61" i="10"/>
  <c r="M61" i="10"/>
  <c r="L61" i="10"/>
  <c r="K61" i="10"/>
  <c r="J61" i="10"/>
  <c r="I61" i="10"/>
  <c r="H61" i="10"/>
  <c r="H74" i="10" s="1"/>
  <c r="G61" i="10"/>
  <c r="F61" i="10"/>
  <c r="E61" i="10"/>
  <c r="D61" i="10"/>
  <c r="B60" i="10"/>
  <c r="B59" i="10"/>
  <c r="B58" i="10"/>
  <c r="B57" i="10"/>
  <c r="B56" i="10"/>
  <c r="B55" i="10"/>
  <c r="B54" i="10"/>
  <c r="B53" i="10"/>
  <c r="B52" i="10"/>
  <c r="B51" i="10"/>
  <c r="B50" i="10"/>
  <c r="B49" i="10"/>
  <c r="B48" i="10"/>
  <c r="B47" i="10"/>
  <c r="B46" i="10"/>
  <c r="B45" i="10"/>
  <c r="B44" i="10"/>
  <c r="B43" i="10"/>
  <c r="C38" i="10"/>
  <c r="B38" i="10"/>
  <c r="D37" i="10" s="1"/>
  <c r="B21" i="9"/>
  <c r="B41" i="9"/>
  <c r="D30" i="9" s="1"/>
  <c r="C41" i="9"/>
  <c r="D41" i="9"/>
  <c r="B57" i="9"/>
  <c r="D46" i="9" s="1"/>
  <c r="C57" i="9"/>
  <c r="C81" i="9"/>
  <c r="D81" i="9"/>
  <c r="E81" i="9"/>
  <c r="F81" i="9"/>
  <c r="G81" i="9"/>
  <c r="H81" i="9"/>
  <c r="I81" i="9"/>
  <c r="J81" i="9"/>
  <c r="K81" i="9"/>
  <c r="L81" i="9"/>
  <c r="M81" i="9"/>
  <c r="B94" i="9"/>
  <c r="C94" i="9"/>
  <c r="D94" i="9"/>
  <c r="E94" i="9"/>
  <c r="F94" i="9"/>
  <c r="G94" i="9"/>
  <c r="H94" i="9"/>
  <c r="I94" i="9"/>
  <c r="J94" i="9"/>
  <c r="K94" i="9"/>
  <c r="L94" i="9"/>
  <c r="M94" i="9"/>
  <c r="B106" i="9"/>
  <c r="C106" i="9"/>
  <c r="D106" i="9"/>
  <c r="E106" i="9"/>
  <c r="F106" i="9"/>
  <c r="G106" i="9"/>
  <c r="H106" i="9"/>
  <c r="I106" i="9"/>
  <c r="J106" i="9"/>
  <c r="K106" i="9"/>
  <c r="L106" i="9"/>
  <c r="M106" i="9"/>
  <c r="A113" i="9"/>
  <c r="A114" i="9"/>
  <c r="A115" i="9"/>
  <c r="A116" i="9"/>
  <c r="A117" i="9"/>
  <c r="B118" i="9"/>
  <c r="C118" i="9"/>
  <c r="D118" i="9"/>
  <c r="E118" i="9"/>
  <c r="F118" i="9"/>
  <c r="G118" i="9"/>
  <c r="H118" i="9"/>
  <c r="I118" i="9"/>
  <c r="J118" i="9"/>
  <c r="K118" i="9"/>
  <c r="L118" i="9"/>
  <c r="M118" i="9"/>
  <c r="B129" i="9"/>
  <c r="C129" i="9"/>
  <c r="D129" i="9"/>
  <c r="E129" i="9"/>
  <c r="F129" i="9"/>
  <c r="G129" i="9"/>
  <c r="H129" i="9"/>
  <c r="I129" i="9"/>
  <c r="J129" i="9"/>
  <c r="K129" i="9"/>
  <c r="L129" i="9"/>
  <c r="M129" i="9"/>
  <c r="E152" i="9"/>
  <c r="B81" i="9" l="1"/>
  <c r="B97" i="10"/>
  <c r="B86" i="10"/>
  <c r="D26" i="10"/>
  <c r="D30" i="10"/>
  <c r="D34" i="10"/>
  <c r="D27" i="10"/>
  <c r="D31" i="10"/>
  <c r="D35" i="10"/>
  <c r="D28" i="10"/>
  <c r="D32" i="10"/>
  <c r="D36" i="10"/>
  <c r="D38" i="10"/>
  <c r="D29" i="10"/>
  <c r="D33" i="10"/>
  <c r="B61" i="10"/>
  <c r="F25" i="10" s="1"/>
  <c r="D57" i="9"/>
  <c r="D55" i="9"/>
  <c r="D53" i="9"/>
  <c r="D51" i="9"/>
  <c r="D49" i="9"/>
  <c r="D47" i="9"/>
  <c r="D39" i="9"/>
  <c r="D37" i="9"/>
  <c r="D35" i="9"/>
  <c r="D33" i="9"/>
  <c r="D31" i="9"/>
  <c r="D56" i="9"/>
  <c r="D54" i="9"/>
  <c r="D52" i="9"/>
  <c r="D50" i="9"/>
  <c r="D48" i="9"/>
  <c r="D40" i="9"/>
  <c r="D38" i="9"/>
  <c r="D36" i="9"/>
  <c r="D34" i="9"/>
  <c r="D32" i="9"/>
  <c r="H86" i="7"/>
  <c r="H97" i="7"/>
  <c r="B96" i="7"/>
  <c r="B95" i="7"/>
  <c r="B94" i="7"/>
  <c r="B93" i="7"/>
  <c r="K61" i="7"/>
  <c r="L61" i="7"/>
  <c r="M61" i="7"/>
  <c r="H61" i="7"/>
  <c r="H68" i="7" s="1"/>
  <c r="H74" i="7" s="1"/>
  <c r="B85" i="7"/>
  <c r="B84" i="7"/>
  <c r="B83" i="7"/>
  <c r="B82" i="7"/>
  <c r="B81" i="7"/>
  <c r="B43" i="7"/>
  <c r="B60" i="7"/>
  <c r="B59" i="7"/>
  <c r="B58" i="7"/>
  <c r="B57" i="7"/>
  <c r="B56" i="7"/>
  <c r="B55" i="7"/>
  <c r="B54" i="7"/>
  <c r="B53" i="7"/>
  <c r="B52" i="7"/>
  <c r="B51" i="7"/>
  <c r="B50" i="7"/>
  <c r="B49" i="7"/>
  <c r="B48" i="7"/>
  <c r="B47" i="7"/>
  <c r="B46" i="7"/>
  <c r="B45" i="7"/>
  <c r="B44" i="7"/>
  <c r="B8" i="7"/>
  <c r="H104" i="7" l="1"/>
  <c r="H108" i="7" s="1"/>
  <c r="B38" i="7"/>
  <c r="D31" i="7" s="1"/>
  <c r="C38" i="7"/>
  <c r="E131" i="7" l="1"/>
  <c r="B19" i="7" s="1"/>
  <c r="A96" i="7" l="1"/>
  <c r="A95" i="7"/>
  <c r="A94" i="7"/>
  <c r="A93" i="7"/>
  <c r="C61" i="7"/>
  <c r="D61" i="7"/>
  <c r="E61" i="7"/>
  <c r="F61" i="7"/>
  <c r="G61" i="7"/>
  <c r="I61" i="7"/>
  <c r="J61" i="7"/>
  <c r="N61" i="7"/>
  <c r="B20" i="7"/>
  <c r="B61" i="7" l="1"/>
  <c r="N108" i="7" l="1"/>
  <c r="M108" i="7"/>
  <c r="L108" i="7"/>
  <c r="K108" i="7"/>
  <c r="J108" i="7"/>
  <c r="I108" i="7"/>
  <c r="G108" i="7"/>
  <c r="F108" i="7"/>
  <c r="E108" i="7"/>
  <c r="D108" i="7"/>
  <c r="C108" i="7"/>
  <c r="N97" i="7"/>
  <c r="M97" i="7"/>
  <c r="L97" i="7"/>
  <c r="K97" i="7"/>
  <c r="J97" i="7"/>
  <c r="I97" i="7"/>
  <c r="G97" i="7"/>
  <c r="F97" i="7"/>
  <c r="E97" i="7"/>
  <c r="D97" i="7"/>
  <c r="C97" i="7"/>
  <c r="N86" i="7"/>
  <c r="M86" i="7"/>
  <c r="L86" i="7"/>
  <c r="K86" i="7"/>
  <c r="J86" i="7"/>
  <c r="I86" i="7"/>
  <c r="G86" i="7"/>
  <c r="F86" i="7"/>
  <c r="E86" i="7"/>
  <c r="D86" i="7"/>
  <c r="C86" i="7"/>
  <c r="B108" i="7" s="1"/>
  <c r="N74" i="7"/>
  <c r="M74" i="7"/>
  <c r="L74" i="7"/>
  <c r="K74" i="7"/>
  <c r="J74" i="7"/>
  <c r="I74" i="7"/>
  <c r="G74" i="7"/>
  <c r="F74" i="7"/>
  <c r="E74" i="7"/>
  <c r="D74" i="7"/>
  <c r="C74" i="7"/>
  <c r="B97" i="7" s="1"/>
  <c r="B74" i="7"/>
  <c r="D35" i="7"/>
  <c r="B86" i="7"/>
  <c r="D33" i="7"/>
  <c r="D27" i="7"/>
  <c r="D36" i="7"/>
  <c r="D26" i="7"/>
  <c r="D29" i="7" l="1"/>
  <c r="D30" i="7"/>
  <c r="D38" i="7"/>
  <c r="D32" i="7"/>
  <c r="D37" i="7"/>
  <c r="D28" i="7"/>
  <c r="D34" i="7"/>
  <c r="C40" i="15" l="1"/>
</calcChain>
</file>

<file path=xl/sharedStrings.xml><?xml version="1.0" encoding="utf-8"?>
<sst xmlns="http://schemas.openxmlformats.org/spreadsheetml/2006/main" count="6775" uniqueCount="284">
  <si>
    <t>Report date:</t>
  </si>
  <si>
    <t>Total</t>
  </si>
  <si>
    <t>Report currency:</t>
  </si>
  <si>
    <t>NOK</t>
  </si>
  <si>
    <t>Total LOAN BALANCE</t>
  </si>
  <si>
    <t>NO. OF BORROWERS</t>
  </si>
  <si>
    <t>0-≤40%</t>
  </si>
  <si>
    <t>&gt;40%-≤50%</t>
  </si>
  <si>
    <t>&gt;50%-≤60%</t>
  </si>
  <si>
    <t>&gt;60%-≤70%</t>
  </si>
  <si>
    <t>&gt;80%-≤85%</t>
  </si>
  <si>
    <t>&gt;85%-≤90%</t>
  </si>
  <si>
    <t>&gt;90%-≤95%</t>
  </si>
  <si>
    <t>&gt;95%-≤100%</t>
  </si>
  <si>
    <t>&gt;100%-≤105%</t>
  </si>
  <si>
    <t>&gt;105%</t>
  </si>
  <si>
    <t>Indexed LTV ranges</t>
  </si>
  <si>
    <t>In % of total</t>
  </si>
  <si>
    <t>LTV: 0-≤40%</t>
  </si>
  <si>
    <t>LTV:&gt;40%-≤50%</t>
  </si>
  <si>
    <t>LTV:&gt;50%-≤60%</t>
  </si>
  <si>
    <t>LTV:&gt;60%-≤70%</t>
  </si>
  <si>
    <t>LTV:&gt;80%-≤85%</t>
  </si>
  <si>
    <t>LTV:&gt;85%-≤90%</t>
  </si>
  <si>
    <t>LTV:&gt;90%-≤95%</t>
  </si>
  <si>
    <t>LTV:&gt;95%-≤100%</t>
  </si>
  <si>
    <t>LTV:&gt;100%-≤105%</t>
  </si>
  <si>
    <t>LTV:&gt;105%</t>
  </si>
  <si>
    <t>Akershus</t>
  </si>
  <si>
    <t>Aust-Agder</t>
  </si>
  <si>
    <t>Buskerud</t>
  </si>
  <si>
    <t>Hedmark</t>
  </si>
  <si>
    <t>Hordaland</t>
  </si>
  <si>
    <t>Nordland</t>
  </si>
  <si>
    <t>Oppland</t>
  </si>
  <si>
    <t>Oslo</t>
  </si>
  <si>
    <t>Rogaland</t>
  </si>
  <si>
    <t>Sogn og Fjordane</t>
  </si>
  <si>
    <t>Telemark</t>
  </si>
  <si>
    <t>Troms</t>
  </si>
  <si>
    <t>Vest-Agder</t>
  </si>
  <si>
    <t>Vestfold</t>
  </si>
  <si>
    <t>Months</t>
  </si>
  <si>
    <t>≥2-&lt;6 (and not BPI or Fce)</t>
  </si>
  <si>
    <t>≥6-&lt;12 (and not BPI or Fce)</t>
  </si>
  <si>
    <t>&gt;12 (and not BPI or Fce)</t>
  </si>
  <si>
    <t>BPI (and not Fce)</t>
  </si>
  <si>
    <t>Foreclosure ("Fce")</t>
  </si>
  <si>
    <t>Loans not in arrear or &lt;2 (and not BPI or Fce)</t>
  </si>
  <si>
    <t>Substitute assets</t>
  </si>
  <si>
    <t>ISIN</t>
  </si>
  <si>
    <t>Currency</t>
  </si>
  <si>
    <t>Current balance in currency of issued Covered Bond</t>
  </si>
  <si>
    <t>Interest payment frequency</t>
  </si>
  <si>
    <t>Date of issuance</t>
  </si>
  <si>
    <t>Series number</t>
  </si>
  <si>
    <t>Quarterly</t>
  </si>
  <si>
    <t>Floating rate</t>
  </si>
  <si>
    <t>Annually</t>
  </si>
  <si>
    <t>Expected maturity date</t>
  </si>
  <si>
    <t>Interest rate type</t>
  </si>
  <si>
    <t>Legal final              (or "extended" maturity date)</t>
  </si>
  <si>
    <t>0 &lt;= 12</t>
  </si>
  <si>
    <t>12 &lt; x &lt;= 24</t>
  </si>
  <si>
    <t>24 &lt; x &lt;= 36</t>
  </si>
  <si>
    <t>36 &lt; x &lt;= 60</t>
  </si>
  <si>
    <t>60 &lt; x</t>
  </si>
  <si>
    <t>Fixed rate with reset &lt;= 2 years</t>
  </si>
  <si>
    <t>Fixed rate with reset 2y &lt; x &lt; 5Y</t>
  </si>
  <si>
    <t>Fixed rate with over 5 years</t>
  </si>
  <si>
    <t>8. Outstanding Covered Bonds</t>
  </si>
  <si>
    <t>2. LTV Breakdown residential mortgages</t>
  </si>
  <si>
    <t>1. Overview Cover Pool Composition:</t>
  </si>
  <si>
    <t>NO. OF LOANS:</t>
  </si>
  <si>
    <t>WA SEASONING (in months):</t>
  </si>
  <si>
    <t>NO. OF BORROWERS:</t>
  </si>
  <si>
    <t>NO. OF PROPERTIES:</t>
  </si>
  <si>
    <t>Total LOAN BALANCE residential:</t>
  </si>
  <si>
    <t>Average LOAN BALANCE residential:</t>
  </si>
  <si>
    <t>Borrower concentration: %age of largest 10 borrowers</t>
  </si>
  <si>
    <t>Total cover pool</t>
  </si>
  <si>
    <t>WA REMAINING LIFE (in months):</t>
  </si>
  <si>
    <t xml:space="preserve">WA Indexed LTV (LOAN BALANCE / INDEXED valuation) </t>
  </si>
  <si>
    <t>Percentage of VARIABLE MORTGAGES:</t>
  </si>
  <si>
    <t>Loans in arrears &gt; 90 days:</t>
  </si>
  <si>
    <t>Cover Pool Information for Verd Boligkreditt</t>
  </si>
  <si>
    <t>Percentage of OWNER OCCUPIED:</t>
  </si>
  <si>
    <t>3. Regions vs indexed LTVs</t>
  </si>
  <si>
    <t>4. Overview of arrear information  vs indexed LTVs</t>
  </si>
  <si>
    <t>5. Seasoning of mortgages vs indexed LTVs</t>
  </si>
  <si>
    <t>6. Principal payment frequency of mortgages vs indexed LTVs</t>
  </si>
  <si>
    <t>7. Interest type of mortgages vs indexed LTVs</t>
  </si>
  <si>
    <t>NO0010592017</t>
  </si>
  <si>
    <t>NO0010580681</t>
  </si>
  <si>
    <t>NO0010659824</t>
  </si>
  <si>
    <t>NO0010657521</t>
  </si>
  <si>
    <t>NO0010640717</t>
  </si>
  <si>
    <t>NO0010625288</t>
  </si>
  <si>
    <t>NO0010630122</t>
  </si>
  <si>
    <t>NO0010651136</t>
  </si>
  <si>
    <t>26.05.2014</t>
  </si>
  <si>
    <t>28.06.2013</t>
  </si>
  <si>
    <t>14.09.2017</t>
  </si>
  <si>
    <t>14.09.2016</t>
  </si>
  <si>
    <t>14.03.2017</t>
  </si>
  <si>
    <t>20.04.2015</t>
  </si>
  <si>
    <t>22.11.2013</t>
  </si>
  <si>
    <t>06.07.2016</t>
  </si>
  <si>
    <t>FRN</t>
  </si>
  <si>
    <t>Fixed</t>
  </si>
  <si>
    <t>26.11.2010</t>
  </si>
  <si>
    <t>29.06.2010</t>
  </si>
  <si>
    <t>14.09.2012</t>
  </si>
  <si>
    <t>14.03.2012</t>
  </si>
  <si>
    <t>20.09.2011</t>
  </si>
  <si>
    <t>22.11.2011</t>
  </si>
  <si>
    <t>06.07.2012</t>
  </si>
  <si>
    <t>* 3% prepayments is the long term avg observed level in the cover pool</t>
  </si>
  <si>
    <t>9. Subsitute assets</t>
  </si>
  <si>
    <t>Counterparty</t>
  </si>
  <si>
    <t>Exposure type</t>
  </si>
  <si>
    <t>Nom amount in NOK</t>
  </si>
  <si>
    <t>Rating</t>
  </si>
  <si>
    <t>Sparebanken Vest</t>
  </si>
  <si>
    <t>NA</t>
  </si>
  <si>
    <t>Deposit</t>
  </si>
  <si>
    <t>A2/A-/NR</t>
  </si>
  <si>
    <t>NO0010583933</t>
  </si>
  <si>
    <t>Covered Bond</t>
  </si>
  <si>
    <t>Aaa/NR/NR</t>
  </si>
  <si>
    <t>NO0010503931</t>
  </si>
  <si>
    <t>Aaa/AAA/AAA</t>
  </si>
  <si>
    <t>10. Maturity profile Covered Bonds vs Cover pool</t>
  </si>
  <si>
    <t>Pluss Boligkreditt AS</t>
  </si>
  <si>
    <t>NO0010605801</t>
  </si>
  <si>
    <t>Sparebanken Møre Boligkreditt AS</t>
  </si>
  <si>
    <t>NO0010564982</t>
  </si>
  <si>
    <t>DNB Boligkreditt</t>
  </si>
  <si>
    <t>LTV:&gt;70%-≤75%</t>
  </si>
  <si>
    <t>LTV:&gt;75%-≤80%</t>
  </si>
  <si>
    <t>&gt;70%-≤75%</t>
  </si>
  <si>
    <t>&gt;75%-≤80%</t>
  </si>
  <si>
    <t>Finmark</t>
  </si>
  <si>
    <t>Møre og Romsdal</t>
  </si>
  <si>
    <t>Sør-Trøndelag</t>
  </si>
  <si>
    <t>Østfold</t>
  </si>
  <si>
    <t>NO0010572373</t>
  </si>
  <si>
    <t>Nordea Eiendomskreditt AS</t>
  </si>
  <si>
    <t>Terra Boligkreditt AS</t>
  </si>
  <si>
    <t>WA LTV (LOAN BALANCE / original valuation):</t>
  </si>
  <si>
    <t>2.1 Unindexed LTV Ranges Distribution</t>
  </si>
  <si>
    <t>Unindexed LTV ranges</t>
  </si>
  <si>
    <t>&gt;70%-≤80%</t>
  </si>
  <si>
    <t>2.1 Indexed LTV Ranges Distribution</t>
  </si>
  <si>
    <t>LTV:&gt;70%-≤80%</t>
  </si>
  <si>
    <t>Finnmark</t>
  </si>
  <si>
    <t>More og Romsdal</t>
  </si>
  <si>
    <t>Nord-Trondelag</t>
  </si>
  <si>
    <t>Ostfold</t>
  </si>
  <si>
    <t>Sor-Trondelag</t>
  </si>
  <si>
    <t>DNB Boligkreditt AS</t>
  </si>
  <si>
    <t>SØR Boligkreditt</t>
  </si>
  <si>
    <t>NO0010649056</t>
  </si>
  <si>
    <t>NO0010669864</t>
  </si>
  <si>
    <t>NO0010673254</t>
  </si>
  <si>
    <t>Unknown</t>
  </si>
  <si>
    <t>Rating (M/F/S&amp;P)</t>
  </si>
  <si>
    <t>NO0010674666</t>
  </si>
  <si>
    <t>* DNBNOR BOLIGKREDITT AS 09/17</t>
  </si>
  <si>
    <t>* SPAREBANK1 BOLIGKREDITT  10/16</t>
  </si>
  <si>
    <t>* SPV Boligkreditt AS 2010/18.08.2017-2018</t>
  </si>
  <si>
    <t>* PLUSS BOLIGKREDITT AS 11/16 FRN</t>
  </si>
  <si>
    <t>* SPV Boligkreditt AS 11/17</t>
  </si>
  <si>
    <t>* SPV BOLIGKREDITT AS 2012/04.05.2018-2019</t>
  </si>
  <si>
    <t>* SPAREBANK 1 BOLIGKREDITT AS 12/19</t>
  </si>
  <si>
    <t>* DNB BOLIGKREDITT AS 13/18</t>
  </si>
  <si>
    <t>NO0010572142</t>
  </si>
  <si>
    <t>NO0010583966</t>
  </si>
  <si>
    <t>NO0010609993</t>
  </si>
  <si>
    <t>NO0010646078</t>
  </si>
  <si>
    <t>NO0010657596</t>
  </si>
  <si>
    <t>Aaa/AAA/NR</t>
  </si>
  <si>
    <t>Loans not in arrear or &lt;2 months</t>
  </si>
  <si>
    <t>≥2-&lt;6 months</t>
  </si>
  <si>
    <t>≥6-&lt;12 months</t>
  </si>
  <si>
    <t>&gt;12 months</t>
  </si>
  <si>
    <t>* SPV Boligkreditt AS 09/14</t>
  </si>
  <si>
    <t>* DNB NOR BOLIGKREDITT 11/18</t>
  </si>
  <si>
    <t>* SPV Boligkreditt AS 2012/04.05.2018-2019</t>
  </si>
  <si>
    <t>* NORDEA EIENDOMSKREDITT AS 06/19</t>
  </si>
  <si>
    <t>* BUSTADKREDITT SOGN OG FJORDANE AS 12/19</t>
  </si>
  <si>
    <t>NO0010497290</t>
  </si>
  <si>
    <t>NO0010622087</t>
  </si>
  <si>
    <t>NO0010647241</t>
  </si>
  <si>
    <t>NO0010665177</t>
  </si>
  <si>
    <t>Aaa/NR/AAA</t>
  </si>
  <si>
    <t xml:space="preserve">WA Indexed LTV (LIMIT / INDEXED valuation) </t>
  </si>
  <si>
    <t>OC %</t>
  </si>
  <si>
    <t>OC % with 20% decline in property prices</t>
  </si>
  <si>
    <t>inelig</t>
  </si>
  <si>
    <t>NO0010686884</t>
  </si>
  <si>
    <t>Monthly</t>
  </si>
  <si>
    <t>Quarterly / Semi-annually</t>
  </si>
  <si>
    <t>BULLET</t>
  </si>
  <si>
    <t>Current balance in the market of Covered Bonds</t>
  </si>
  <si>
    <t>Nord-Trøndelag</t>
  </si>
  <si>
    <t>NO0010701212</t>
  </si>
  <si>
    <t>NO0010710304</t>
  </si>
  <si>
    <t>* PLUSS BOLIGKREDITT AS 28.11.2015</t>
  </si>
  <si>
    <t>* KLP KOMMUNEKREDITT AS 10/15</t>
  </si>
  <si>
    <t>* PLUSS BOLIGKREDITT AS 10/15/16</t>
  </si>
  <si>
    <t>* DNB BOLIGKREDITT AS 12/19</t>
  </si>
  <si>
    <t>* SKANDIABANKEN.NO 14/17 COVERED</t>
  </si>
  <si>
    <t>NO0010575210</t>
  </si>
  <si>
    <t>NO0010585185</t>
  </si>
  <si>
    <t>NO0010593437</t>
  </si>
  <si>
    <t>NO0010664394</t>
  </si>
  <si>
    <t>NO0010702939</t>
  </si>
  <si>
    <t>3. Amount breakdown residential mortgages</t>
  </si>
  <si>
    <t>Loan size</t>
  </si>
  <si>
    <t>&lt;500'</t>
  </si>
  <si>
    <t>500'-1''</t>
  </si>
  <si>
    <t>1-2''</t>
  </si>
  <si>
    <t>2-3''</t>
  </si>
  <si>
    <t>3-5''</t>
  </si>
  <si>
    <t>4. Regions vs indexed LTVs</t>
  </si>
  <si>
    <t>5. Overview of arrear information  vs indexed LTVs</t>
  </si>
  <si>
    <t>6. Seasoning of mortgages vs indexed LTVs</t>
  </si>
  <si>
    <t>7. Principal payment frequency of mortgages vs indexed LTVs</t>
  </si>
  <si>
    <t>8. Interest type of mortgages vs indexed LTVs</t>
  </si>
  <si>
    <t>9. Outstanding Covered Bonds</t>
  </si>
  <si>
    <t>10. Subsitute assets</t>
  </si>
  <si>
    <t>11. Maturity profile Covered Bonds vs Cover pool</t>
  </si>
  <si>
    <t>OC % with 30% decline in property prices</t>
  </si>
  <si>
    <t>Ineligble ved stress</t>
  </si>
  <si>
    <t>Fin forpl med fortrinn</t>
  </si>
  <si>
    <t>* KLP KOMMUNEKREDITT AS 14/19</t>
  </si>
  <si>
    <t>* SPAREBANKEN SØR BOLIGKREDITT AS 2015/21</t>
  </si>
  <si>
    <t>* SR-BOLIGKREDITT AS 15/20</t>
  </si>
  <si>
    <t>NO0010719974</t>
  </si>
  <si>
    <t>NO0010730146</t>
  </si>
  <si>
    <t>NO0010740152</t>
  </si>
  <si>
    <t>A1/A-/NR</t>
  </si>
  <si>
    <t>STATSKASSEVEKSEL 1603</t>
  </si>
  <si>
    <t>NO0010732787</t>
  </si>
  <si>
    <t>Gov Bond</t>
  </si>
  <si>
    <t>* CITY OF GOTHENBURG 13/11/2018</t>
  </si>
  <si>
    <t>XS1321017441</t>
  </si>
  <si>
    <t>Municipality</t>
  </si>
  <si>
    <t>Aaa/NR/AA+</t>
  </si>
  <si>
    <t>NO0010779028</t>
  </si>
  <si>
    <t>NO0010799315</t>
  </si>
  <si>
    <t>* GJENSIDIGE BANK BOLI 14/21</t>
  </si>
  <si>
    <t>NO0010727738</t>
  </si>
  <si>
    <t>NR/NR/AAA</t>
  </si>
  <si>
    <t>* Nordea Eiendomskreditt AS 15/21</t>
  </si>
  <si>
    <t>NO0010729817</t>
  </si>
  <si>
    <t>* SPAREBANKEN SØR BOLIGKREDITT 22.11.2021</t>
  </si>
  <si>
    <t>NO0010778954</t>
  </si>
  <si>
    <t>* MUNICIPALITY FINANCE 17/22</t>
  </si>
  <si>
    <t>NO0010790405</t>
  </si>
  <si>
    <t>Aa1/NR/AA+</t>
  </si>
  <si>
    <t>NO0010780984</t>
  </si>
  <si>
    <t>NO0010806870</t>
  </si>
  <si>
    <t>* OBOS BOLIGKREDITT AS 0.05.2020</t>
  </si>
  <si>
    <t>Government</t>
  </si>
  <si>
    <t>* NORWEGIAN GOVERNMENT</t>
  </si>
  <si>
    <t>Trøndelag</t>
  </si>
  <si>
    <t>NO0010816531</t>
  </si>
  <si>
    <t>NO0010759632</t>
  </si>
  <si>
    <t>NO0010831662</t>
  </si>
  <si>
    <t>* Nordea Eiendomskredi 16/22</t>
  </si>
  <si>
    <t>Etne Sparebank</t>
  </si>
  <si>
    <t>NR</t>
  </si>
  <si>
    <t>* SPB 1 NÆRINGSKR 18/22</t>
  </si>
  <si>
    <t>NO0010823982</t>
  </si>
  <si>
    <t>NO0010834823</t>
  </si>
  <si>
    <t>A1/NR/NR</t>
  </si>
  <si>
    <t>NO0010729247</t>
  </si>
  <si>
    <t>NO0010840697</t>
  </si>
  <si>
    <t>* DNB BOLIGKREDIT 19/22</t>
  </si>
  <si>
    <t>* EUROPEAN INVESTMENT BANK 01/22 FRN</t>
  </si>
  <si>
    <t>Aa1/NA/AA+</t>
  </si>
  <si>
    <t>Gross OC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</si>
</sst>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_);_(* \(#,##0.00\);_(* &quot;-&quot;??_);_(@_)"/>
    <numFmt numFmtId="166" formatCode="_(* #,##0_);_(* \(#,##0\);_(* &quot;-&quot;??_);_(@_)"/>
    <numFmt numFmtId="167" formatCode="_ * #,##0_ ;_ * \-#,##0_ ;_ * &quot;-&quot;??_ ;_ @_ "/>
    <numFmt numFmtId="168" formatCode="_-* #,##0.00000000000000000_-;\-* #,##0.00000000000000000_-;_-* &quot;-&quot;??_-;_-@_-"/>
    <numFmt numFmtId="169" formatCode="[$-409]d\-mmm\-yyyy;@"/>
    <numFmt numFmtId="170" formatCode="_ * #,##0.000_ ;_ * \-#,##0.000_ ;_ * &quot;-&quot;??_ ;_ @_ "/>
    <numFmt numFmtId="171" formatCode="0.0\ %"/>
  </numFmts>
  <fonts count="38" x14ac:knownFonts="1">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Verdana"/>
      <family val="2"/>
    </font>
    <font>
      <sz val="10"/>
      <name val="Arial"/>
      <family val="2"/>
    </font>
    <font>
      <b/>
      <sz val="10"/>
      <name val="Verdana"/>
      <family val="2"/>
    </font>
    <font>
      <sz val="11"/>
      <color indexed="8"/>
      <name val="Calibri"/>
      <family val="2"/>
    </font>
    <font>
      <sz val="10"/>
      <name val="Arial"/>
      <family val="2"/>
    </font>
    <font>
      <b/>
      <sz val="10"/>
      <color indexed="10"/>
      <name val="Arial"/>
      <family val="2"/>
    </font>
    <font>
      <u/>
      <sz val="7.5"/>
      <color indexed="12"/>
      <name val="Arial"/>
      <family val="2"/>
    </font>
    <font>
      <sz val="11"/>
      <color theme="1"/>
      <name val="Calibri"/>
      <family val="2"/>
      <scheme val="minor"/>
    </font>
    <font>
      <b/>
      <sz val="10"/>
      <color theme="1"/>
      <name val="Verdana"/>
      <family val="2"/>
    </font>
    <font>
      <sz val="10"/>
      <color theme="1"/>
      <name val="Verdana"/>
      <family val="2"/>
    </font>
    <font>
      <b/>
      <sz val="10"/>
      <color theme="0"/>
      <name val="Verdana"/>
      <family val="2"/>
    </font>
    <font>
      <b/>
      <sz val="12"/>
      <color theme="1"/>
      <name val="Verdana"/>
      <family val="2"/>
    </font>
    <font>
      <i/>
      <sz val="9"/>
      <color theme="1"/>
      <name val="Verdana"/>
      <family val="2"/>
    </font>
    <font>
      <b/>
      <sz val="10"/>
      <color indexed="56"/>
      <name val="Verdana"/>
      <family val="2"/>
    </font>
    <font>
      <sz val="10"/>
      <color indexed="56"/>
      <name val="Verdana"/>
      <family val="2"/>
    </font>
    <font>
      <sz val="10"/>
      <color rgb="FFFF0000"/>
      <name val="Verdana"/>
      <family val="2"/>
    </font>
    <font>
      <b/>
      <sz val="10"/>
      <color rgb="FFFF0000"/>
      <name val="Verdana"/>
      <family val="2"/>
    </font>
    <font>
      <sz val="10"/>
      <color theme="0"/>
      <name val="Verdana"/>
      <family val="2"/>
    </font>
    <font>
      <sz val="11"/>
      <name val="Calibri"/>
      <family val="2"/>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8C141C"/>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double">
        <color indexed="64"/>
      </bottom>
      <diagonal/>
    </border>
    <border>
      <left style="thin">
        <color indexed="8"/>
      </left>
      <right style="thin">
        <color indexed="8"/>
      </right>
      <top/>
      <bottom style="thin">
        <color indexed="8"/>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8"/>
      </right>
      <top style="double">
        <color indexed="64"/>
      </top>
      <bottom/>
      <diagonal/>
    </border>
    <border>
      <left style="thin">
        <color indexed="8"/>
      </left>
      <right style="thin">
        <color indexed="8"/>
      </right>
      <top style="thin">
        <color indexed="8"/>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8"/>
      </top>
      <bottom style="thin">
        <color indexed="8"/>
      </bottom>
      <diagonal/>
    </border>
    <border>
      <left/>
      <right style="thin">
        <color indexed="64"/>
      </right>
      <top style="thin">
        <color indexed="64"/>
      </top>
      <bottom/>
      <diagonal/>
    </border>
    <border>
      <left/>
      <right style="thin">
        <color indexed="64"/>
      </right>
      <top/>
      <bottom style="double">
        <color indexed="64"/>
      </bottom>
      <diagonal/>
    </border>
  </borders>
  <cellStyleXfs count="342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24" fillId="0" borderId="0" applyNumberFormat="0" applyFill="0" applyBorder="0" applyAlignment="0" applyProtection="0">
      <alignment vertical="top"/>
      <protection locked="0"/>
    </xf>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2" fillId="7" borderId="1" applyNumberFormat="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165" fontId="23" fillId="0" borderId="0" applyFont="0" applyFill="0" applyBorder="0" applyAlignment="0" applyProtection="0"/>
    <xf numFmtId="165" fontId="1" fillId="0" borderId="0" applyFont="0" applyFill="0" applyBorder="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6" fillId="21" borderId="2" applyNumberFormat="0" applyAlignment="0" applyProtection="0"/>
    <xf numFmtId="0" fontId="13" fillId="0" borderId="6" applyNumberFormat="0" applyFill="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 fillId="22" borderId="7" applyNumberFormat="0" applyFont="0" applyAlignment="0" applyProtection="0"/>
    <xf numFmtId="0" fontId="14" fillId="23" borderId="0" applyNumberFormat="0" applyBorder="0" applyAlignment="0" applyProtection="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lignment horizontal="left" wrapText="1"/>
    </xf>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6" fillId="0" borderId="0"/>
    <xf numFmtId="0" fontId="26" fillId="0" borderId="0"/>
    <xf numFmtId="0" fontId="20" fillId="0" borderId="0">
      <alignment horizontal="left" wrapText="1"/>
    </xf>
    <xf numFmtId="0" fontId="20" fillId="0" borderId="0">
      <alignment horizontal="left" wrapText="1"/>
    </xf>
    <xf numFmtId="0" fontId="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lignment horizontal="left" wrapText="1"/>
    </xf>
    <xf numFmtId="0" fontId="1" fillId="0" borderId="0">
      <alignment horizontal="left" wrapText="1"/>
    </xf>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applyNumberFormat="0" applyFont="0" applyFill="0" applyBorder="0" applyAlignment="0" applyProtection="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22" borderId="7" applyNumberFormat="0" applyFont="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5" fillId="20" borderId="8" applyNumberFormat="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15" fillId="20" borderId="8" applyNumberFormat="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 fillId="0" borderId="0">
      <alignment horizontal="left" wrapText="1"/>
    </xf>
    <xf numFmtId="0" fontId="1" fillId="0" borderId="0">
      <alignment horizontal="left" wrapText="1"/>
    </xf>
    <xf numFmtId="165" fontId="1" fillId="0" borderId="0" applyFont="0" applyFill="0" applyBorder="0" applyAlignment="0" applyProtection="0"/>
    <xf numFmtId="0" fontId="1" fillId="0" borderId="0">
      <alignment horizontal="left" wrapText="1"/>
    </xf>
    <xf numFmtId="164" fontId="2" fillId="0" borderId="0" applyFont="0" applyFill="0" applyBorder="0" applyAlignment="0" applyProtection="0"/>
  </cellStyleXfs>
  <cellXfs count="476">
    <xf numFmtId="0" fontId="0" fillId="0" borderId="0" xfId="0"/>
    <xf numFmtId="0" fontId="19" fillId="0" borderId="12" xfId="2902" applyFont="1" applyFill="1" applyBorder="1" applyAlignment="1"/>
    <xf numFmtId="0" fontId="21" fillId="0" borderId="0" xfId="2839" applyFont="1" applyFill="1" applyBorder="1" applyAlignment="1" applyProtection="1">
      <alignment vertical="center"/>
    </xf>
    <xf numFmtId="0" fontId="19" fillId="0" borderId="15" xfId="2902" applyFont="1" applyBorder="1" applyAlignment="1"/>
    <xf numFmtId="0" fontId="19" fillId="0" borderId="17" xfId="2902" applyFont="1" applyBorder="1" applyAlignment="1"/>
    <xf numFmtId="0" fontId="19" fillId="0" borderId="10" xfId="2902" applyFont="1" applyFill="1" applyBorder="1" applyAlignment="1"/>
    <xf numFmtId="0" fontId="19" fillId="0" borderId="12" xfId="2902" applyFont="1" applyBorder="1" applyAlignment="1"/>
    <xf numFmtId="0" fontId="19" fillId="0" borderId="10" xfId="2902" applyFont="1" applyBorder="1" applyAlignment="1"/>
    <xf numFmtId="0" fontId="19" fillId="0" borderId="20" xfId="2902" applyFont="1" applyBorder="1" applyAlignment="1"/>
    <xf numFmtId="0" fontId="21" fillId="0" borderId="11" xfId="2902" applyFont="1" applyBorder="1" applyAlignment="1">
      <alignment wrapText="1"/>
    </xf>
    <xf numFmtId="0" fontId="21" fillId="0" borderId="11" xfId="2902" applyFont="1" applyBorder="1" applyAlignment="1">
      <alignment vertical="center" wrapText="1"/>
    </xf>
    <xf numFmtId="0" fontId="19" fillId="0" borderId="11" xfId="1126" applyFont="1" applyBorder="1" applyAlignment="1">
      <alignment horizontal="center"/>
    </xf>
    <xf numFmtId="0" fontId="19" fillId="0" borderId="22" xfId="1126" applyFont="1" applyBorder="1" applyAlignment="1"/>
    <xf numFmtId="0" fontId="19" fillId="0" borderId="11" xfId="1126" applyFont="1" applyBorder="1" applyAlignment="1"/>
    <xf numFmtId="0" fontId="21" fillId="0" borderId="16" xfId="1126" applyFont="1" applyBorder="1" applyAlignment="1">
      <alignment vertical="top" wrapText="1"/>
    </xf>
    <xf numFmtId="0" fontId="21" fillId="0" borderId="11" xfId="1126" applyFont="1" applyBorder="1" applyAlignment="1">
      <alignment vertical="top" wrapText="1"/>
    </xf>
    <xf numFmtId="0" fontId="21" fillId="0" borderId="22" xfId="1126" applyFont="1" applyBorder="1" applyAlignment="1">
      <alignment horizontal="left" vertical="center" wrapText="1"/>
    </xf>
    <xf numFmtId="0" fontId="19" fillId="0" borderId="16" xfId="1126" applyFont="1" applyBorder="1" applyAlignment="1"/>
    <xf numFmtId="166" fontId="21" fillId="0" borderId="19" xfId="3285" applyNumberFormat="1" applyFont="1" applyFill="1" applyBorder="1" applyAlignment="1" applyProtection="1">
      <alignment horizontal="center"/>
      <protection locked="0"/>
    </xf>
    <xf numFmtId="0" fontId="21" fillId="0" borderId="13" xfId="2902" applyFont="1" applyBorder="1" applyAlignment="1">
      <alignment vertical="center" wrapText="1"/>
    </xf>
    <xf numFmtId="3" fontId="21" fillId="0" borderId="24" xfId="2022" applyNumberFormat="1" applyFont="1" applyFill="1" applyBorder="1" applyAlignment="1">
      <alignment horizontal="right" wrapText="1"/>
    </xf>
    <xf numFmtId="167" fontId="19" fillId="0" borderId="12" xfId="3239" applyNumberFormat="1" applyFont="1" applyFill="1" applyBorder="1" applyAlignment="1" applyProtection="1">
      <alignment horizontal="right"/>
      <protection locked="0"/>
    </xf>
    <xf numFmtId="166" fontId="21" fillId="0" borderId="25" xfId="3266" applyNumberFormat="1" applyFont="1" applyFill="1" applyBorder="1" applyAlignment="1" applyProtection="1">
      <alignment horizontal="right"/>
      <protection locked="0"/>
    </xf>
    <xf numFmtId="166" fontId="21" fillId="0" borderId="26" xfId="3266" applyNumberFormat="1" applyFont="1" applyFill="1" applyBorder="1" applyAlignment="1" applyProtection="1">
      <alignment horizontal="right"/>
      <protection locked="0"/>
    </xf>
    <xf numFmtId="167" fontId="21" fillId="0" borderId="24" xfId="3239" applyNumberFormat="1" applyFont="1" applyFill="1" applyBorder="1" applyAlignment="1">
      <alignment horizontal="right"/>
    </xf>
    <xf numFmtId="0" fontId="21" fillId="0" borderId="11" xfId="1126" applyFont="1" applyBorder="1" applyAlignment="1">
      <alignment horizontal="left" vertical="top" wrapText="1"/>
    </xf>
    <xf numFmtId="0" fontId="19" fillId="0" borderId="0" xfId="1126" applyFont="1" applyBorder="1" applyAlignment="1">
      <alignment horizontal="left" vertical="top" indent="5"/>
    </xf>
    <xf numFmtId="167" fontId="19" fillId="0" borderId="10" xfId="3239" applyNumberFormat="1" applyFont="1" applyBorder="1" applyAlignment="1" applyProtection="1">
      <alignment horizontal="right"/>
      <protection locked="0"/>
    </xf>
    <xf numFmtId="167" fontId="19" fillId="0" borderId="12" xfId="3239" applyNumberFormat="1" applyFont="1" applyBorder="1" applyAlignment="1" applyProtection="1">
      <alignment horizontal="right"/>
      <protection locked="0"/>
    </xf>
    <xf numFmtId="167" fontId="19" fillId="0" borderId="15" xfId="3239" applyNumberFormat="1" applyFont="1" applyBorder="1" applyAlignment="1" applyProtection="1">
      <alignment horizontal="right"/>
      <protection locked="0"/>
    </xf>
    <xf numFmtId="167" fontId="19" fillId="0" borderId="17" xfId="3239" applyNumberFormat="1" applyFont="1" applyBorder="1" applyAlignment="1" applyProtection="1">
      <alignment horizontal="right"/>
      <protection locked="0"/>
    </xf>
    <xf numFmtId="167" fontId="19" fillId="0" borderId="12" xfId="3239" applyNumberFormat="1" applyFont="1" applyFill="1" applyBorder="1" applyAlignment="1" applyProtection="1">
      <alignment horizontal="right" vertical="top"/>
      <protection locked="0"/>
    </xf>
    <xf numFmtId="167" fontId="19" fillId="0" borderId="0" xfId="3239" applyNumberFormat="1" applyFont="1" applyFill="1" applyBorder="1" applyAlignment="1" applyProtection="1">
      <alignment horizontal="right" vertical="top"/>
      <protection locked="0"/>
    </xf>
    <xf numFmtId="167" fontId="19" fillId="0" borderId="10" xfId="3239" applyNumberFormat="1" applyFont="1" applyFill="1" applyBorder="1" applyAlignment="1" applyProtection="1">
      <alignment horizontal="right" vertical="top"/>
      <protection locked="0"/>
    </xf>
    <xf numFmtId="167" fontId="19" fillId="0" borderId="17" xfId="3239" applyNumberFormat="1" applyFont="1" applyFill="1" applyBorder="1" applyAlignment="1" applyProtection="1">
      <alignment horizontal="right" vertical="top"/>
      <protection locked="0"/>
    </xf>
    <xf numFmtId="167" fontId="19" fillId="0" borderId="23" xfId="3239" applyNumberFormat="1" applyFont="1" applyFill="1" applyBorder="1" applyAlignment="1" applyProtection="1">
      <alignment horizontal="right" vertical="top"/>
      <protection locked="0"/>
    </xf>
    <xf numFmtId="167" fontId="19" fillId="0" borderId="15" xfId="3239" applyNumberFormat="1" applyFont="1" applyFill="1" applyBorder="1" applyAlignment="1" applyProtection="1">
      <alignment horizontal="right" vertical="top"/>
      <protection locked="0"/>
    </xf>
    <xf numFmtId="0" fontId="19" fillId="0" borderId="0" xfId="2022" applyFont="1" applyBorder="1" applyAlignment="1">
      <alignment horizontal="left" indent="5"/>
    </xf>
    <xf numFmtId="3" fontId="21" fillId="0" borderId="0" xfId="2022" applyNumberFormat="1" applyFont="1" applyFill="1" applyBorder="1" applyAlignment="1">
      <alignment horizontal="right" wrapText="1"/>
    </xf>
    <xf numFmtId="167" fontId="21" fillId="0" borderId="0" xfId="3239" applyNumberFormat="1" applyFont="1" applyFill="1" applyBorder="1" applyAlignment="1">
      <alignment horizontal="right"/>
    </xf>
    <xf numFmtId="166" fontId="21" fillId="0" borderId="0" xfId="3266" applyNumberFormat="1" applyFont="1" applyFill="1" applyBorder="1" applyAlignment="1" applyProtection="1">
      <alignment horizontal="right"/>
      <protection locked="0"/>
    </xf>
    <xf numFmtId="0" fontId="19" fillId="0" borderId="14" xfId="1126" applyFont="1" applyBorder="1" applyAlignment="1">
      <alignment horizontal="left" vertical="top" indent="5"/>
    </xf>
    <xf numFmtId="0" fontId="19" fillId="0" borderId="12" xfId="1126" applyFont="1" applyBorder="1" applyAlignment="1">
      <alignment horizontal="left" vertical="top" indent="5"/>
    </xf>
    <xf numFmtId="0" fontId="19" fillId="0" borderId="17" xfId="1126" applyFont="1" applyBorder="1" applyAlignment="1">
      <alignment horizontal="left" vertical="top" indent="5"/>
    </xf>
    <xf numFmtId="0" fontId="19" fillId="0" borderId="28" xfId="1126" applyFont="1" applyBorder="1" applyAlignment="1">
      <alignment horizontal="left" vertical="top" indent="5"/>
    </xf>
    <xf numFmtId="0" fontId="19" fillId="0" borderId="29" xfId="2022" applyFont="1" applyBorder="1" applyAlignment="1">
      <alignment horizontal="left" indent="5"/>
    </xf>
    <xf numFmtId="0" fontId="19" fillId="0" borderId="14" xfId="1126" applyFont="1" applyBorder="1" applyAlignment="1"/>
    <xf numFmtId="0" fontId="21" fillId="0" borderId="19" xfId="1126" applyFont="1" applyBorder="1" applyAlignment="1">
      <alignment horizontal="left" vertical="center" wrapText="1"/>
    </xf>
    <xf numFmtId="0" fontId="19" fillId="0" borderId="12" xfId="1126" applyFont="1" applyBorder="1" applyAlignment="1"/>
    <xf numFmtId="0" fontId="19" fillId="0" borderId="10" xfId="1126" applyFont="1" applyBorder="1" applyAlignment="1">
      <alignment horizontal="left" vertical="top" indent="5"/>
    </xf>
    <xf numFmtId="167" fontId="19" fillId="0" borderId="30" xfId="3239" applyNumberFormat="1" applyFont="1" applyBorder="1" applyAlignment="1">
      <alignment horizontal="right"/>
    </xf>
    <xf numFmtId="167" fontId="19" fillId="0" borderId="10" xfId="3239" applyNumberFormat="1" applyFont="1" applyFill="1" applyBorder="1" applyAlignment="1" applyProtection="1">
      <alignment horizontal="right"/>
      <protection locked="0"/>
    </xf>
    <xf numFmtId="10" fontId="28" fillId="0" borderId="0" xfId="3104" applyNumberFormat="1" applyFont="1"/>
    <xf numFmtId="0" fontId="28" fillId="0" borderId="0" xfId="0" applyFont="1"/>
    <xf numFmtId="0" fontId="28" fillId="0" borderId="0" xfId="0" applyFont="1" applyFill="1"/>
    <xf numFmtId="0" fontId="28" fillId="0" borderId="0" xfId="0" applyFont="1" applyFill="1" applyBorder="1"/>
    <xf numFmtId="10" fontId="28" fillId="0" borderId="11" xfId="3104" applyNumberFormat="1" applyFont="1" applyBorder="1"/>
    <xf numFmtId="10" fontId="27" fillId="24" borderId="11" xfId="3104" applyNumberFormat="1" applyFont="1" applyFill="1" applyBorder="1"/>
    <xf numFmtId="167" fontId="27" fillId="24" borderId="11" xfId="3239" applyNumberFormat="1" applyFont="1" applyFill="1" applyBorder="1"/>
    <xf numFmtId="10" fontId="27" fillId="0" borderId="0" xfId="3104" applyNumberFormat="1" applyFont="1" applyFill="1" applyBorder="1"/>
    <xf numFmtId="167" fontId="27" fillId="0" borderId="0" xfId="3239" applyNumberFormat="1" applyFont="1" applyFill="1" applyBorder="1"/>
    <xf numFmtId="3" fontId="27" fillId="0" borderId="0" xfId="0" applyNumberFormat="1" applyFont="1" applyFill="1" applyBorder="1"/>
    <xf numFmtId="166" fontId="27" fillId="0" borderId="0" xfId="0" applyNumberFormat="1" applyFont="1" applyFill="1" applyBorder="1"/>
    <xf numFmtId="0" fontId="27" fillId="0" borderId="11" xfId="0" applyFont="1" applyBorder="1"/>
    <xf numFmtId="10" fontId="28" fillId="0" borderId="12" xfId="3104" applyNumberFormat="1" applyFont="1" applyBorder="1"/>
    <xf numFmtId="10" fontId="28" fillId="0" borderId="17" xfId="3104" applyNumberFormat="1" applyFont="1" applyBorder="1"/>
    <xf numFmtId="10" fontId="28" fillId="0" borderId="19" xfId="3104" applyNumberFormat="1" applyFont="1" applyBorder="1"/>
    <xf numFmtId="0" fontId="28" fillId="0" borderId="0" xfId="0" applyFont="1" applyBorder="1"/>
    <xf numFmtId="0" fontId="28" fillId="0" borderId="0" xfId="0" applyFont="1" applyAlignment="1">
      <alignment horizontal="center" vertical="center"/>
    </xf>
    <xf numFmtId="0" fontId="27" fillId="0" borderId="0" xfId="0" applyFont="1"/>
    <xf numFmtId="0" fontId="28" fillId="0" borderId="10" xfId="0" applyFont="1" applyBorder="1"/>
    <xf numFmtId="167" fontId="28" fillId="0" borderId="14" xfId="3239" applyNumberFormat="1" applyFont="1" applyBorder="1" applyAlignment="1">
      <alignment horizontal="right"/>
    </xf>
    <xf numFmtId="167" fontId="28" fillId="0" borderId="27" xfId="3239" applyNumberFormat="1" applyFont="1" applyFill="1" applyBorder="1" applyAlignment="1">
      <alignment horizontal="right"/>
    </xf>
    <xf numFmtId="167" fontId="28" fillId="0" borderId="20" xfId="3239" applyNumberFormat="1" applyFont="1" applyFill="1" applyBorder="1" applyAlignment="1">
      <alignment horizontal="right"/>
    </xf>
    <xf numFmtId="167" fontId="28" fillId="0" borderId="10" xfId="3239" applyNumberFormat="1" applyFont="1" applyBorder="1" applyAlignment="1">
      <alignment horizontal="right"/>
    </xf>
    <xf numFmtId="167" fontId="28" fillId="0" borderId="12" xfId="3239" applyNumberFormat="1" applyFont="1" applyBorder="1" applyAlignment="1">
      <alignment horizontal="right"/>
    </xf>
    <xf numFmtId="167" fontId="28" fillId="0" borderId="20" xfId="3239" applyNumberFormat="1" applyFont="1" applyBorder="1" applyAlignment="1">
      <alignment horizontal="right"/>
    </xf>
    <xf numFmtId="167" fontId="28" fillId="0" borderId="0" xfId="3239" applyNumberFormat="1" applyFont="1" applyFill="1" applyBorder="1" applyAlignment="1">
      <alignment horizontal="right"/>
    </xf>
    <xf numFmtId="167" fontId="28" fillId="0" borderId="10" xfId="3239" applyNumberFormat="1" applyFont="1" applyFill="1" applyBorder="1" applyAlignment="1">
      <alignment horizontal="right"/>
    </xf>
    <xf numFmtId="167" fontId="28" fillId="0" borderId="17" xfId="3239" applyNumberFormat="1" applyFont="1" applyBorder="1" applyAlignment="1">
      <alignment horizontal="right"/>
    </xf>
    <xf numFmtId="167" fontId="28" fillId="0" borderId="15" xfId="3239" applyNumberFormat="1" applyFont="1" applyFill="1" applyBorder="1" applyAlignment="1">
      <alignment horizontal="right"/>
    </xf>
    <xf numFmtId="167" fontId="28" fillId="0" borderId="15" xfId="3239" applyNumberFormat="1" applyFont="1" applyBorder="1" applyAlignment="1">
      <alignment horizontal="right"/>
    </xf>
    <xf numFmtId="167" fontId="27" fillId="0" borderId="13" xfId="3239" applyNumberFormat="1" applyFont="1" applyBorder="1" applyAlignment="1">
      <alignment horizontal="right"/>
    </xf>
    <xf numFmtId="167" fontId="27" fillId="0" borderId="0" xfId="3239" applyNumberFormat="1" applyFont="1" applyBorder="1" applyAlignment="1">
      <alignment horizontal="right"/>
    </xf>
    <xf numFmtId="167" fontId="28" fillId="0" borderId="20" xfId="0" applyNumberFormat="1" applyFont="1" applyBorder="1"/>
    <xf numFmtId="167" fontId="28" fillId="0" borderId="20" xfId="3239" applyNumberFormat="1" applyFont="1" applyFill="1" applyBorder="1"/>
    <xf numFmtId="167" fontId="28" fillId="0" borderId="20" xfId="3239" applyNumberFormat="1" applyFont="1" applyBorder="1"/>
    <xf numFmtId="167" fontId="28" fillId="0" borderId="14" xfId="3239" applyNumberFormat="1" applyFont="1" applyBorder="1"/>
    <xf numFmtId="167" fontId="28" fillId="0" borderId="12" xfId="0" applyNumberFormat="1" applyFont="1" applyBorder="1"/>
    <xf numFmtId="167" fontId="28" fillId="0" borderId="0" xfId="3239" applyNumberFormat="1" applyFont="1" applyFill="1" applyBorder="1"/>
    <xf numFmtId="167" fontId="28" fillId="0" borderId="10" xfId="3239" applyNumberFormat="1" applyFont="1" applyFill="1" applyBorder="1"/>
    <xf numFmtId="167" fontId="28" fillId="0" borderId="10" xfId="3239" applyNumberFormat="1" applyFont="1" applyBorder="1"/>
    <xf numFmtId="167" fontId="28" fillId="0" borderId="12" xfId="3239" applyNumberFormat="1" applyFont="1" applyBorder="1"/>
    <xf numFmtId="167" fontId="28" fillId="0" borderId="15" xfId="0" applyNumberFormat="1" applyFont="1" applyBorder="1"/>
    <xf numFmtId="167" fontId="28" fillId="0" borderId="15" xfId="3239" applyNumberFormat="1" applyFont="1" applyFill="1" applyBorder="1"/>
    <xf numFmtId="167" fontId="28" fillId="0" borderId="15" xfId="3239" applyNumberFormat="1" applyFont="1" applyBorder="1"/>
    <xf numFmtId="167" fontId="28" fillId="0" borderId="17" xfId="3239" applyNumberFormat="1" applyFont="1" applyBorder="1"/>
    <xf numFmtId="167" fontId="27" fillId="0" borderId="25" xfId="0" applyNumberFormat="1" applyFont="1" applyBorder="1"/>
    <xf numFmtId="167" fontId="27" fillId="0" borderId="26" xfId="0" applyNumberFormat="1" applyFont="1" applyBorder="1"/>
    <xf numFmtId="167" fontId="27" fillId="0" borderId="0" xfId="0" applyNumberFormat="1" applyFont="1" applyBorder="1"/>
    <xf numFmtId="167" fontId="28" fillId="0" borderId="10" xfId="0" applyNumberFormat="1" applyFont="1" applyBorder="1"/>
    <xf numFmtId="0" fontId="28" fillId="0" borderId="10" xfId="0" applyFont="1" applyBorder="1" applyAlignment="1">
      <alignment horizontal="center"/>
    </xf>
    <xf numFmtId="169" fontId="28" fillId="0" borderId="0" xfId="0" applyNumberFormat="1" applyFont="1" applyBorder="1"/>
    <xf numFmtId="167" fontId="28" fillId="0" borderId="19" xfId="3239" applyNumberFormat="1" applyFont="1" applyBorder="1"/>
    <xf numFmtId="167" fontId="28" fillId="0" borderId="0" xfId="3239" applyNumberFormat="1" applyFont="1" applyBorder="1"/>
    <xf numFmtId="0" fontId="28" fillId="0" borderId="0" xfId="0" applyFont="1" applyBorder="1" applyAlignment="1">
      <alignment horizontal="center"/>
    </xf>
    <xf numFmtId="10" fontId="27" fillId="25" borderId="11" xfId="3104" applyNumberFormat="1" applyFont="1" applyFill="1" applyBorder="1"/>
    <xf numFmtId="0" fontId="19" fillId="25" borderId="16" xfId="2022" applyFont="1" applyFill="1" applyBorder="1" applyAlignment="1" applyProtection="1">
      <alignment horizontal="left" vertical="center"/>
    </xf>
    <xf numFmtId="0" fontId="21" fillId="25" borderId="16" xfId="1126" applyFont="1" applyFill="1" applyBorder="1" applyAlignment="1" applyProtection="1">
      <alignment horizontal="left" vertical="center"/>
    </xf>
    <xf numFmtId="0" fontId="21" fillId="25" borderId="11" xfId="1126" applyFont="1" applyFill="1" applyBorder="1" applyAlignment="1" applyProtection="1">
      <alignment horizontal="left"/>
    </xf>
    <xf numFmtId="168" fontId="21" fillId="25" borderId="11" xfId="3266" applyNumberFormat="1" applyFont="1" applyFill="1" applyBorder="1" applyProtection="1"/>
    <xf numFmtId="168" fontId="21" fillId="25" borderId="21" xfId="3266" applyNumberFormat="1" applyFont="1" applyFill="1" applyBorder="1" applyProtection="1"/>
    <xf numFmtId="168" fontId="21" fillId="25" borderId="18" xfId="3266" applyNumberFormat="1" applyFont="1" applyFill="1" applyBorder="1" applyProtection="1"/>
    <xf numFmtId="0" fontId="21" fillId="25" borderId="11" xfId="1126" applyFont="1" applyFill="1" applyBorder="1" applyAlignment="1" applyProtection="1">
      <alignment horizontal="left" vertical="center"/>
    </xf>
    <xf numFmtId="14" fontId="19" fillId="25" borderId="11" xfId="3239" applyNumberFormat="1" applyFont="1" applyFill="1" applyBorder="1"/>
    <xf numFmtId="14" fontId="19" fillId="25" borderId="11" xfId="3239" applyNumberFormat="1" applyFont="1" applyFill="1" applyBorder="1" applyAlignment="1">
      <alignment horizontal="right"/>
    </xf>
    <xf numFmtId="10" fontId="29" fillId="0" borderId="0" xfId="3104" applyNumberFormat="1" applyFont="1" applyFill="1" applyBorder="1" applyAlignment="1"/>
    <xf numFmtId="0" fontId="21" fillId="0" borderId="0" xfId="2724" applyFont="1" applyFill="1" applyBorder="1" applyAlignment="1" applyProtection="1">
      <alignment vertical="center"/>
    </xf>
    <xf numFmtId="10" fontId="19" fillId="0" borderId="0" xfId="3104" applyNumberFormat="1" applyFont="1" applyFill="1" applyBorder="1" applyAlignment="1"/>
    <xf numFmtId="3" fontId="19" fillId="0" borderId="0" xfId="2836" applyNumberFormat="1" applyFont="1" applyFill="1" applyBorder="1" applyAlignment="1" applyProtection="1">
      <alignment horizontal="right"/>
      <protection locked="0"/>
    </xf>
    <xf numFmtId="166" fontId="19" fillId="0" borderId="0" xfId="3283" applyNumberFormat="1" applyFont="1" applyFill="1" applyBorder="1" applyAlignment="1" applyProtection="1">
      <alignment horizontal="right"/>
      <protection locked="0"/>
    </xf>
    <xf numFmtId="10" fontId="28" fillId="0" borderId="0" xfId="3104" applyNumberFormat="1" applyFont="1" applyFill="1" applyBorder="1"/>
    <xf numFmtId="166" fontId="28" fillId="0" borderId="0" xfId="0" applyNumberFormat="1" applyFont="1" applyFill="1" applyBorder="1"/>
    <xf numFmtId="167" fontId="28" fillId="0" borderId="11" xfId="3239" applyNumberFormat="1" applyFont="1" applyBorder="1"/>
    <xf numFmtId="10" fontId="30" fillId="0" borderId="0" xfId="3104" applyNumberFormat="1" applyFont="1"/>
    <xf numFmtId="167" fontId="19" fillId="0" borderId="14" xfId="3239" applyNumberFormat="1" applyFont="1" applyFill="1" applyBorder="1" applyAlignment="1"/>
    <xf numFmtId="167" fontId="19" fillId="0" borderId="12" xfId="3239" applyNumberFormat="1" applyFont="1" applyFill="1" applyBorder="1" applyAlignment="1"/>
    <xf numFmtId="167" fontId="19" fillId="0" borderId="12" xfId="3239" applyNumberFormat="1" applyFont="1" applyFill="1" applyBorder="1" applyAlignment="1" applyProtection="1">
      <protection locked="0"/>
    </xf>
    <xf numFmtId="167" fontId="19" fillId="0" borderId="17" xfId="3239" applyNumberFormat="1" applyFont="1" applyFill="1" applyBorder="1" applyAlignment="1" applyProtection="1">
      <protection locked="0"/>
    </xf>
    <xf numFmtId="167" fontId="19" fillId="0" borderId="10" xfId="3239" applyNumberFormat="1" applyFont="1" applyFill="1" applyBorder="1" applyAlignment="1"/>
    <xf numFmtId="167" fontId="19" fillId="0" borderId="12" xfId="3239" applyNumberFormat="1" applyFont="1" applyFill="1" applyBorder="1" applyAlignment="1" applyProtection="1">
      <alignment horizontal="center"/>
      <protection locked="0"/>
    </xf>
    <xf numFmtId="167" fontId="19" fillId="0" borderId="10" xfId="3239" applyNumberFormat="1" applyFont="1" applyFill="1" applyBorder="1" applyAlignment="1" applyProtection="1">
      <alignment horizontal="center"/>
      <protection locked="0"/>
    </xf>
    <xf numFmtId="167" fontId="19" fillId="0" borderId="17" xfId="3239" applyNumberFormat="1" applyFont="1" applyFill="1" applyBorder="1" applyAlignment="1" applyProtection="1">
      <alignment horizontal="center"/>
      <protection locked="0"/>
    </xf>
    <xf numFmtId="167" fontId="21" fillId="0" borderId="19" xfId="3239" applyNumberFormat="1" applyFont="1" applyFill="1" applyBorder="1" applyAlignment="1" applyProtection="1">
      <alignment horizontal="center"/>
      <protection locked="0"/>
    </xf>
    <xf numFmtId="167" fontId="19" fillId="0" borderId="12" xfId="3239" applyNumberFormat="1" applyFont="1" applyFill="1" applyBorder="1" applyAlignment="1">
      <alignment horizontal="right"/>
    </xf>
    <xf numFmtId="167" fontId="19" fillId="0" borderId="10" xfId="3239" applyNumberFormat="1" applyFont="1" applyFill="1" applyBorder="1" applyAlignment="1">
      <alignment horizontal="right"/>
    </xf>
    <xf numFmtId="0" fontId="21" fillId="0" borderId="20" xfId="2902" applyFont="1" applyFill="1" applyBorder="1" applyAlignment="1" applyProtection="1">
      <alignment vertical="center" wrapText="1"/>
    </xf>
    <xf numFmtId="167" fontId="19" fillId="0" borderId="30" xfId="3239" applyNumberFormat="1" applyFont="1" applyFill="1" applyBorder="1" applyAlignment="1">
      <alignment horizontal="right"/>
    </xf>
    <xf numFmtId="167" fontId="28" fillId="0" borderId="27" xfId="3239" applyNumberFormat="1" applyFont="1" applyFill="1" applyBorder="1"/>
    <xf numFmtId="167" fontId="27" fillId="0" borderId="13" xfId="0" applyNumberFormat="1" applyFont="1" applyBorder="1"/>
    <xf numFmtId="167" fontId="28" fillId="0" borderId="14" xfId="0" applyNumberFormat="1" applyFont="1" applyBorder="1"/>
    <xf numFmtId="9" fontId="28" fillId="0" borderId="11" xfId="3104" applyNumberFormat="1" applyFont="1" applyBorder="1"/>
    <xf numFmtId="169" fontId="28" fillId="0" borderId="10" xfId="0" applyNumberFormat="1" applyFont="1" applyBorder="1" applyAlignment="1">
      <alignment horizontal="center"/>
    </xf>
    <xf numFmtId="0" fontId="28" fillId="0" borderId="12" xfId="0" applyFont="1" applyBorder="1" applyAlignment="1">
      <alignment horizontal="center"/>
    </xf>
    <xf numFmtId="0" fontId="28" fillId="0" borderId="20" xfId="0" applyFont="1" applyBorder="1"/>
    <xf numFmtId="169" fontId="28" fillId="0" borderId="20" xfId="0" applyNumberFormat="1" applyFont="1" applyBorder="1" applyAlignment="1">
      <alignment horizontal="center"/>
    </xf>
    <xf numFmtId="0" fontId="28" fillId="0" borderId="20" xfId="0" applyFont="1" applyBorder="1" applyAlignment="1">
      <alignment horizontal="center"/>
    </xf>
    <xf numFmtId="0" fontId="28" fillId="0" borderId="14" xfId="0" applyFont="1" applyBorder="1" applyAlignment="1">
      <alignment horizontal="center"/>
    </xf>
    <xf numFmtId="167" fontId="28" fillId="0" borderId="17" xfId="0" applyNumberFormat="1" applyFont="1" applyBorder="1"/>
    <xf numFmtId="0" fontId="27" fillId="25" borderId="18" xfId="0" applyFont="1" applyFill="1" applyBorder="1" applyAlignment="1">
      <alignment wrapText="1"/>
    </xf>
    <xf numFmtId="0" fontId="27" fillId="25" borderId="11" xfId="0" applyFont="1" applyFill="1" applyBorder="1"/>
    <xf numFmtId="0" fontId="27" fillId="25" borderId="18" xfId="0" applyFont="1" applyFill="1" applyBorder="1"/>
    <xf numFmtId="0" fontId="31" fillId="0" borderId="0" xfId="0" applyFont="1"/>
    <xf numFmtId="0" fontId="19" fillId="0" borderId="20" xfId="2022" applyFont="1" applyBorder="1" applyAlignment="1" applyProtection="1">
      <alignment horizontal="left" indent="5"/>
    </xf>
    <xf numFmtId="0" fontId="19" fillId="0" borderId="10" xfId="2022" applyFont="1" applyBorder="1" applyAlignment="1" applyProtection="1">
      <alignment horizontal="left" indent="5"/>
    </xf>
    <xf numFmtId="0" fontId="21" fillId="25" borderId="14" xfId="2022" applyFont="1" applyFill="1" applyBorder="1" applyAlignment="1" applyProtection="1">
      <alignment horizontal="left" vertical="center"/>
    </xf>
    <xf numFmtId="168" fontId="21" fillId="25" borderId="14" xfId="3282" applyNumberFormat="1" applyFont="1" applyFill="1" applyBorder="1" applyProtection="1"/>
    <xf numFmtId="168" fontId="21" fillId="25" borderId="27" xfId="3282" applyNumberFormat="1" applyFont="1" applyFill="1" applyBorder="1" applyProtection="1"/>
    <xf numFmtId="168" fontId="21" fillId="25" borderId="20" xfId="3282" applyNumberFormat="1" applyFont="1" applyFill="1" applyBorder="1" applyProtection="1"/>
    <xf numFmtId="168" fontId="21" fillId="25" borderId="10" xfId="3282" applyNumberFormat="1" applyFont="1" applyFill="1" applyBorder="1" applyProtection="1"/>
    <xf numFmtId="168" fontId="21" fillId="25" borderId="12" xfId="3282" applyNumberFormat="1" applyFont="1" applyFill="1" applyBorder="1" applyProtection="1"/>
    <xf numFmtId="167" fontId="19" fillId="0" borderId="14" xfId="3239" applyNumberFormat="1" applyFont="1" applyFill="1" applyBorder="1" applyAlignment="1">
      <alignment horizontal="right" wrapText="1"/>
    </xf>
    <xf numFmtId="167" fontId="19" fillId="0" borderId="12" xfId="3239" applyNumberFormat="1" applyFont="1" applyFill="1" applyBorder="1" applyAlignment="1">
      <alignment horizontal="right" wrapText="1"/>
    </xf>
    <xf numFmtId="10" fontId="29" fillId="26" borderId="18" xfId="3104" applyNumberFormat="1" applyFont="1" applyFill="1" applyBorder="1" applyAlignment="1"/>
    <xf numFmtId="10" fontId="29" fillId="26" borderId="21" xfId="3104" applyNumberFormat="1" applyFont="1" applyFill="1" applyBorder="1" applyAlignment="1"/>
    <xf numFmtId="167" fontId="19" fillId="0" borderId="17" xfId="3239" applyNumberFormat="1" applyFont="1" applyFill="1" applyBorder="1" applyAlignment="1"/>
    <xf numFmtId="167" fontId="21" fillId="0" borderId="0" xfId="3239" applyNumberFormat="1" applyFont="1" applyFill="1" applyBorder="1" applyAlignment="1">
      <alignment vertical="center" wrapText="1"/>
    </xf>
    <xf numFmtId="10" fontId="28" fillId="0" borderId="0" xfId="3104" applyNumberFormat="1" applyFont="1" applyBorder="1"/>
    <xf numFmtId="167" fontId="19" fillId="0" borderId="17" xfId="3239" applyNumberFormat="1" applyFont="1" applyFill="1" applyBorder="1" applyAlignment="1">
      <alignment horizontal="right" wrapText="1"/>
    </xf>
    <xf numFmtId="0" fontId="28" fillId="0" borderId="15" xfId="0" applyFont="1" applyBorder="1"/>
    <xf numFmtId="169" fontId="28" fillId="0" borderId="15" xfId="0" applyNumberFormat="1" applyFont="1" applyBorder="1" applyAlignment="1">
      <alignment horizontal="center"/>
    </xf>
    <xf numFmtId="0" fontId="28" fillId="0" borderId="15" xfId="0" applyFont="1" applyBorder="1" applyAlignment="1">
      <alignment horizontal="center"/>
    </xf>
    <xf numFmtId="0" fontId="28" fillId="0" borderId="17" xfId="0" applyFont="1" applyBorder="1" applyAlignment="1">
      <alignment horizontal="center"/>
    </xf>
    <xf numFmtId="0" fontId="0" fillId="0" borderId="0" xfId="0" applyAlignment="1">
      <alignment horizontal="left"/>
    </xf>
    <xf numFmtId="164" fontId="19" fillId="0" borderId="0" xfId="3239" applyFont="1" applyFill="1" applyBorder="1" applyAlignment="1"/>
    <xf numFmtId="170" fontId="19" fillId="0" borderId="0" xfId="3239" applyNumberFormat="1" applyFont="1" applyFill="1" applyBorder="1" applyAlignment="1"/>
    <xf numFmtId="0" fontId="27" fillId="0" borderId="0" xfId="0" applyFont="1" applyFill="1" applyBorder="1"/>
    <xf numFmtId="0" fontId="32" fillId="0" borderId="0" xfId="2902" applyFont="1" applyFill="1" applyBorder="1" applyAlignment="1" applyProtection="1">
      <alignment horizontal="left" vertical="center" indent="3"/>
    </xf>
    <xf numFmtId="0" fontId="33" fillId="0" borderId="0" xfId="2902" applyFont="1" applyFill="1" applyBorder="1" applyAlignment="1" applyProtection="1">
      <alignment horizontal="left" vertical="center"/>
    </xf>
    <xf numFmtId="0" fontId="19" fillId="0" borderId="13" xfId="2902" applyFont="1" applyBorder="1" applyAlignment="1"/>
    <xf numFmtId="0" fontId="19" fillId="0" borderId="31" xfId="2902" applyFont="1" applyBorder="1" applyAlignment="1"/>
    <xf numFmtId="0" fontId="21" fillId="0" borderId="32" xfId="2902" applyFont="1" applyBorder="1" applyAlignment="1">
      <alignment vertical="center" wrapText="1"/>
    </xf>
    <xf numFmtId="0" fontId="21" fillId="0" borderId="0" xfId="2902" applyFont="1" applyFill="1" applyBorder="1" applyAlignment="1"/>
    <xf numFmtId="0" fontId="19" fillId="0" borderId="0" xfId="2902" applyFont="1" applyAlignment="1"/>
    <xf numFmtId="0" fontId="32" fillId="0" borderId="0" xfId="2902" applyFont="1" applyFill="1" applyBorder="1" applyAlignment="1" applyProtection="1">
      <alignment horizontal="left" vertical="center"/>
    </xf>
    <xf numFmtId="0" fontId="27" fillId="0" borderId="0" xfId="0" applyFont="1" applyFill="1"/>
    <xf numFmtId="0" fontId="19" fillId="0" borderId="0" xfId="2902" applyFont="1" applyBorder="1" applyAlignment="1"/>
    <xf numFmtId="10" fontId="29" fillId="26" borderId="21" xfId="3414" applyNumberFormat="1" applyFont="1" applyFill="1" applyBorder="1" applyAlignment="1"/>
    <xf numFmtId="167" fontId="28" fillId="0" borderId="0" xfId="3415" applyNumberFormat="1" applyFont="1" applyBorder="1"/>
    <xf numFmtId="10" fontId="28" fillId="0" borderId="0" xfId="3414" applyNumberFormat="1" applyFont="1" applyBorder="1"/>
    <xf numFmtId="167" fontId="28" fillId="0" borderId="19" xfId="3415" applyNumberFormat="1" applyFont="1" applyBorder="1"/>
    <xf numFmtId="167" fontId="21" fillId="0" borderId="0" xfId="3415" applyNumberFormat="1" applyFont="1" applyFill="1" applyBorder="1" applyAlignment="1">
      <alignment vertical="center" wrapText="1"/>
    </xf>
    <xf numFmtId="10" fontId="28" fillId="0" borderId="17" xfId="3414" applyNumberFormat="1" applyFont="1" applyBorder="1"/>
    <xf numFmtId="167" fontId="28" fillId="0" borderId="17" xfId="3415" applyNumberFormat="1" applyFont="1" applyBorder="1"/>
    <xf numFmtId="167" fontId="19" fillId="0" borderId="17" xfId="3415" applyNumberFormat="1" applyFont="1" applyFill="1" applyBorder="1" applyAlignment="1" applyProtection="1">
      <protection locked="0"/>
    </xf>
    <xf numFmtId="167" fontId="19" fillId="0" borderId="17" xfId="3415" applyNumberFormat="1" applyFont="1" applyFill="1" applyBorder="1" applyAlignment="1"/>
    <xf numFmtId="10" fontId="28" fillId="0" borderId="12" xfId="3414" applyNumberFormat="1" applyFont="1" applyBorder="1"/>
    <xf numFmtId="167" fontId="28" fillId="0" borderId="12" xfId="3415" applyNumberFormat="1" applyFont="1" applyBorder="1"/>
    <xf numFmtId="167" fontId="19" fillId="0" borderId="12" xfId="3415" applyNumberFormat="1" applyFont="1" applyFill="1" applyBorder="1" applyAlignment="1" applyProtection="1">
      <protection locked="0"/>
    </xf>
    <xf numFmtId="167" fontId="19" fillId="0" borderId="12" xfId="3415" applyNumberFormat="1" applyFont="1" applyFill="1" applyBorder="1" applyAlignment="1"/>
    <xf numFmtId="167" fontId="19" fillId="0" borderId="14" xfId="3415" applyNumberFormat="1" applyFont="1" applyFill="1" applyBorder="1" applyAlignment="1"/>
    <xf numFmtId="167" fontId="28" fillId="0" borderId="15" xfId="3415" applyNumberFormat="1" applyFont="1" applyBorder="1"/>
    <xf numFmtId="167" fontId="28" fillId="0" borderId="10" xfId="3415" applyNumberFormat="1" applyFont="1" applyBorder="1"/>
    <xf numFmtId="167" fontId="28" fillId="0" borderId="20" xfId="3415" applyNumberFormat="1" applyFont="1" applyBorder="1"/>
    <xf numFmtId="167" fontId="28" fillId="0" borderId="15" xfId="3415" applyNumberFormat="1" applyFont="1" applyFill="1" applyBorder="1"/>
    <xf numFmtId="167" fontId="28" fillId="0" borderId="10" xfId="3415" applyNumberFormat="1" applyFont="1" applyFill="1" applyBorder="1"/>
    <xf numFmtId="167" fontId="28" fillId="0" borderId="20" xfId="3415" applyNumberFormat="1" applyFont="1" applyFill="1" applyBorder="1"/>
    <xf numFmtId="167" fontId="28" fillId="0" borderId="23" xfId="3415" applyNumberFormat="1" applyFont="1" applyFill="1" applyBorder="1"/>
    <xf numFmtId="167" fontId="28" fillId="0" borderId="0" xfId="3415" applyNumberFormat="1" applyFont="1" applyFill="1" applyBorder="1"/>
    <xf numFmtId="167" fontId="28" fillId="0" borderId="14" xfId="3415" applyNumberFormat="1" applyFont="1" applyBorder="1"/>
    <xf numFmtId="167" fontId="28" fillId="0" borderId="27" xfId="3415" applyNumberFormat="1" applyFont="1" applyFill="1" applyBorder="1"/>
    <xf numFmtId="167" fontId="27" fillId="0" borderId="0" xfId="3415" applyNumberFormat="1" applyFont="1" applyBorder="1" applyAlignment="1">
      <alignment horizontal="right"/>
    </xf>
    <xf numFmtId="167" fontId="27" fillId="0" borderId="13" xfId="3415" applyNumberFormat="1" applyFont="1" applyBorder="1" applyAlignment="1">
      <alignment horizontal="right"/>
    </xf>
    <xf numFmtId="167" fontId="28" fillId="0" borderId="17" xfId="3415" applyNumberFormat="1" applyFont="1" applyBorder="1" applyAlignment="1">
      <alignment horizontal="right"/>
    </xf>
    <xf numFmtId="167" fontId="28" fillId="0" borderId="15" xfId="3415" applyNumberFormat="1" applyFont="1" applyBorder="1" applyAlignment="1">
      <alignment horizontal="right"/>
    </xf>
    <xf numFmtId="167" fontId="28" fillId="0" borderId="15" xfId="3415" applyNumberFormat="1" applyFont="1" applyFill="1" applyBorder="1" applyAlignment="1">
      <alignment horizontal="right"/>
    </xf>
    <xf numFmtId="167" fontId="28" fillId="0" borderId="12" xfId="3415" applyNumberFormat="1" applyFont="1" applyBorder="1" applyAlignment="1">
      <alignment horizontal="right"/>
    </xf>
    <xf numFmtId="167" fontId="28" fillId="0" borderId="10" xfId="3415" applyNumberFormat="1" applyFont="1" applyBorder="1" applyAlignment="1">
      <alignment horizontal="right"/>
    </xf>
    <xf numFmtId="167" fontId="28" fillId="0" borderId="10" xfId="3415" applyNumberFormat="1" applyFont="1" applyFill="1" applyBorder="1" applyAlignment="1">
      <alignment horizontal="right"/>
    </xf>
    <xf numFmtId="167" fontId="28" fillId="0" borderId="0" xfId="3415" applyNumberFormat="1" applyFont="1" applyFill="1" applyBorder="1" applyAlignment="1">
      <alignment horizontal="right"/>
    </xf>
    <xf numFmtId="167" fontId="28" fillId="0" borderId="14" xfId="3415" applyNumberFormat="1" applyFont="1" applyBorder="1" applyAlignment="1">
      <alignment horizontal="right"/>
    </xf>
    <xf numFmtId="167" fontId="28" fillId="0" borderId="20" xfId="3415" applyNumberFormat="1" applyFont="1" applyBorder="1" applyAlignment="1">
      <alignment horizontal="right"/>
    </xf>
    <xf numFmtId="167" fontId="28" fillId="0" borderId="20" xfId="3415" applyNumberFormat="1" applyFont="1" applyFill="1" applyBorder="1" applyAlignment="1">
      <alignment horizontal="right"/>
    </xf>
    <xf numFmtId="167" fontId="28" fillId="0" borderId="27" xfId="3415" applyNumberFormat="1" applyFont="1" applyFill="1" applyBorder="1" applyAlignment="1">
      <alignment horizontal="right"/>
    </xf>
    <xf numFmtId="167" fontId="19" fillId="0" borderId="17" xfId="3415" applyNumberFormat="1" applyFont="1" applyBorder="1" applyAlignment="1" applyProtection="1">
      <alignment horizontal="right"/>
      <protection locked="0"/>
    </xf>
    <xf numFmtId="167" fontId="19" fillId="0" borderId="15" xfId="3415" applyNumberFormat="1" applyFont="1" applyBorder="1" applyAlignment="1" applyProtection="1">
      <alignment horizontal="right"/>
      <protection locked="0"/>
    </xf>
    <xf numFmtId="167" fontId="19" fillId="0" borderId="15" xfId="3415" applyNumberFormat="1" applyFont="1" applyFill="1" applyBorder="1" applyAlignment="1" applyProtection="1">
      <alignment horizontal="right" vertical="top"/>
      <protection locked="0"/>
    </xf>
    <xf numFmtId="167" fontId="19" fillId="0" borderId="23" xfId="3415" applyNumberFormat="1" applyFont="1" applyFill="1" applyBorder="1" applyAlignment="1" applyProtection="1">
      <alignment horizontal="right" vertical="top"/>
      <protection locked="0"/>
    </xf>
    <xf numFmtId="167" fontId="19" fillId="0" borderId="17" xfId="3415" applyNumberFormat="1" applyFont="1" applyFill="1" applyBorder="1" applyAlignment="1" applyProtection="1">
      <alignment horizontal="right" vertical="top"/>
      <protection locked="0"/>
    </xf>
    <xf numFmtId="167" fontId="19" fillId="0" borderId="12" xfId="3415" applyNumberFormat="1" applyFont="1" applyFill="1" applyBorder="1" applyAlignment="1" applyProtection="1">
      <alignment horizontal="right"/>
      <protection locked="0"/>
    </xf>
    <xf numFmtId="167" fontId="19" fillId="0" borderId="12" xfId="3415" applyNumberFormat="1" applyFont="1" applyBorder="1" applyAlignment="1" applyProtection="1">
      <alignment horizontal="right"/>
      <protection locked="0"/>
    </xf>
    <xf numFmtId="167" fontId="19" fillId="0" borderId="10" xfId="3415" applyNumberFormat="1" applyFont="1" applyBorder="1" applyAlignment="1" applyProtection="1">
      <alignment horizontal="right"/>
      <protection locked="0"/>
    </xf>
    <xf numFmtId="167" fontId="19" fillId="0" borderId="10" xfId="3415" applyNumberFormat="1" applyFont="1" applyFill="1" applyBorder="1" applyAlignment="1" applyProtection="1">
      <alignment horizontal="right" vertical="top"/>
      <protection locked="0"/>
    </xf>
    <xf numFmtId="167" fontId="19" fillId="0" borderId="0" xfId="3415" applyNumberFormat="1" applyFont="1" applyFill="1" applyBorder="1" applyAlignment="1" applyProtection="1">
      <alignment horizontal="right" vertical="top"/>
      <protection locked="0"/>
    </xf>
    <xf numFmtId="167" fontId="19" fillId="0" borderId="12" xfId="3415" applyNumberFormat="1" applyFont="1" applyFill="1" applyBorder="1" applyAlignment="1" applyProtection="1">
      <alignment horizontal="right" vertical="top"/>
      <protection locked="0"/>
    </xf>
    <xf numFmtId="167" fontId="19" fillId="0" borderId="10" xfId="3415" applyNumberFormat="1" applyFont="1" applyFill="1" applyBorder="1" applyAlignment="1" applyProtection="1">
      <alignment horizontal="right"/>
      <protection locked="0"/>
    </xf>
    <xf numFmtId="167" fontId="19" fillId="0" borderId="30" xfId="3415" applyNumberFormat="1" applyFont="1" applyBorder="1" applyAlignment="1">
      <alignment horizontal="right"/>
    </xf>
    <xf numFmtId="167" fontId="19" fillId="0" borderId="30" xfId="3415" applyNumberFormat="1" applyFont="1" applyFill="1" applyBorder="1" applyAlignment="1">
      <alignment horizontal="right"/>
    </xf>
    <xf numFmtId="167" fontId="21" fillId="0" borderId="0" xfId="3415" applyNumberFormat="1" applyFont="1" applyFill="1" applyBorder="1" applyAlignment="1">
      <alignment horizontal="right"/>
    </xf>
    <xf numFmtId="167" fontId="21" fillId="0" borderId="24" xfId="3415" applyNumberFormat="1" applyFont="1" applyFill="1" applyBorder="1" applyAlignment="1">
      <alignment horizontal="right"/>
    </xf>
    <xf numFmtId="167" fontId="19" fillId="0" borderId="17" xfId="3415" applyNumberFormat="1" applyFont="1" applyFill="1" applyBorder="1" applyAlignment="1">
      <alignment horizontal="right" wrapText="1"/>
    </xf>
    <xf numFmtId="167" fontId="19" fillId="0" borderId="12" xfId="3415" applyNumberFormat="1" applyFont="1" applyFill="1" applyBorder="1" applyAlignment="1">
      <alignment horizontal="right" wrapText="1"/>
    </xf>
    <xf numFmtId="167" fontId="19" fillId="0" borderId="14" xfId="3415" applyNumberFormat="1" applyFont="1" applyFill="1" applyBorder="1" applyAlignment="1">
      <alignment horizontal="right" wrapText="1"/>
    </xf>
    <xf numFmtId="10" fontId="28" fillId="0" borderId="19" xfId="3414" applyNumberFormat="1" applyFont="1" applyBorder="1"/>
    <xf numFmtId="167" fontId="21" fillId="0" borderId="19" xfId="3415" applyNumberFormat="1" applyFont="1" applyFill="1" applyBorder="1" applyAlignment="1" applyProtection="1">
      <alignment horizontal="center"/>
      <protection locked="0"/>
    </xf>
    <xf numFmtId="167" fontId="19" fillId="0" borderId="17" xfId="3415" applyNumberFormat="1" applyFont="1" applyFill="1" applyBorder="1" applyAlignment="1" applyProtection="1">
      <alignment horizontal="center"/>
      <protection locked="0"/>
    </xf>
    <xf numFmtId="167" fontId="19" fillId="0" borderId="10" xfId="3415" applyNumberFormat="1" applyFont="1" applyFill="1" applyBorder="1" applyAlignment="1" applyProtection="1">
      <alignment horizontal="center"/>
      <protection locked="0"/>
    </xf>
    <xf numFmtId="167" fontId="19" fillId="0" borderId="12" xfId="3415" applyNumberFormat="1" applyFont="1" applyFill="1" applyBorder="1" applyAlignment="1" applyProtection="1">
      <alignment horizontal="center"/>
      <protection locked="0"/>
    </xf>
    <xf numFmtId="167" fontId="19" fillId="0" borderId="10" xfId="3415" applyNumberFormat="1" applyFont="1" applyFill="1" applyBorder="1" applyAlignment="1">
      <alignment horizontal="right"/>
    </xf>
    <xf numFmtId="167" fontId="19" fillId="0" borderId="12" xfId="3415" applyNumberFormat="1" applyFont="1" applyFill="1" applyBorder="1" applyAlignment="1">
      <alignment horizontal="right"/>
    </xf>
    <xf numFmtId="167" fontId="19" fillId="0" borderId="10" xfId="3415" applyNumberFormat="1" applyFont="1" applyFill="1" applyBorder="1" applyAlignment="1"/>
    <xf numFmtId="164" fontId="28" fillId="0" borderId="0" xfId="3415" applyFont="1" applyAlignment="1">
      <alignment horizontal="right"/>
    </xf>
    <xf numFmtId="167" fontId="28" fillId="0" borderId="0" xfId="3415" applyNumberFormat="1" applyFont="1" applyAlignment="1">
      <alignment horizontal="right"/>
    </xf>
    <xf numFmtId="167" fontId="21" fillId="0" borderId="33" xfId="3415" applyNumberFormat="1" applyFont="1" applyFill="1" applyBorder="1" applyAlignment="1">
      <alignment vertical="center" wrapText="1"/>
    </xf>
    <xf numFmtId="0" fontId="21" fillId="0" borderId="0" xfId="3416" applyFont="1" applyFill="1" applyBorder="1" applyAlignment="1" applyProtection="1">
      <alignment vertical="center"/>
    </xf>
    <xf numFmtId="0" fontId="21" fillId="0" borderId="0" xfId="3417" applyFont="1" applyFill="1" applyBorder="1" applyAlignment="1" applyProtection="1">
      <alignment vertical="center"/>
    </xf>
    <xf numFmtId="10" fontId="27" fillId="25" borderId="11" xfId="3414" applyNumberFormat="1" applyFont="1" applyFill="1" applyBorder="1"/>
    <xf numFmtId="10" fontId="29" fillId="0" borderId="0" xfId="3414" applyNumberFormat="1" applyFont="1" applyFill="1" applyBorder="1" applyAlignment="1"/>
    <xf numFmtId="10" fontId="29" fillId="26" borderId="18" xfId="3414" applyNumberFormat="1" applyFont="1" applyFill="1" applyBorder="1" applyAlignment="1"/>
    <xf numFmtId="10" fontId="27" fillId="0" borderId="0" xfId="3414" applyNumberFormat="1" applyFont="1" applyFill="1" applyBorder="1"/>
    <xf numFmtId="167" fontId="27" fillId="0" borderId="0" xfId="3415" applyNumberFormat="1" applyFont="1" applyFill="1" applyBorder="1"/>
    <xf numFmtId="167" fontId="27" fillId="24" borderId="11" xfId="3415" applyNumberFormat="1" applyFont="1" applyFill="1" applyBorder="1"/>
    <xf numFmtId="10" fontId="27" fillId="24" borderId="11" xfId="3414" applyNumberFormat="1" applyFont="1" applyFill="1" applyBorder="1"/>
    <xf numFmtId="10" fontId="28" fillId="0" borderId="0" xfId="3414" applyNumberFormat="1" applyFont="1" applyFill="1" applyBorder="1"/>
    <xf numFmtId="167" fontId="28" fillId="0" borderId="11" xfId="3415" applyNumberFormat="1" applyFont="1" applyBorder="1"/>
    <xf numFmtId="10" fontId="28" fillId="0" borderId="11" xfId="3414" applyNumberFormat="1" applyFont="1" applyBorder="1"/>
    <xf numFmtId="166" fontId="19" fillId="0" borderId="0" xfId="3418" applyNumberFormat="1" applyFont="1" applyFill="1" applyBorder="1" applyAlignment="1" applyProtection="1">
      <alignment horizontal="right"/>
      <protection locked="0"/>
    </xf>
    <xf numFmtId="3" fontId="19" fillId="0" borderId="0" xfId="3419" applyNumberFormat="1" applyFont="1" applyFill="1" applyBorder="1" applyAlignment="1" applyProtection="1">
      <alignment horizontal="right"/>
      <protection locked="0"/>
    </xf>
    <xf numFmtId="10" fontId="19" fillId="0" borderId="0" xfId="3414" applyNumberFormat="1" applyFont="1" applyFill="1" applyBorder="1" applyAlignment="1"/>
    <xf numFmtId="9" fontId="28" fillId="0" borderId="11" xfId="3414" applyNumberFormat="1" applyFont="1" applyBorder="1"/>
    <xf numFmtId="10" fontId="28" fillId="0" borderId="0" xfId="3414" applyNumberFormat="1" applyFont="1"/>
    <xf numFmtId="14" fontId="19" fillId="25" borderId="11" xfId="3415" applyNumberFormat="1" applyFont="1" applyFill="1" applyBorder="1" applyAlignment="1">
      <alignment horizontal="right"/>
    </xf>
    <xf numFmtId="14" fontId="19" fillId="25" borderId="11" xfId="3415" applyNumberFormat="1" applyFont="1" applyFill="1" applyBorder="1"/>
    <xf numFmtId="10" fontId="30" fillId="0" borderId="0" xfId="3414" applyNumberFormat="1" applyFont="1"/>
    <xf numFmtId="164" fontId="19" fillId="0" borderId="11" xfId="3239" applyFont="1" applyFill="1" applyBorder="1" applyAlignment="1"/>
    <xf numFmtId="14" fontId="28" fillId="0" borderId="15" xfId="0" applyNumberFormat="1" applyFont="1" applyBorder="1" applyAlignment="1">
      <alignment horizontal="center"/>
    </xf>
    <xf numFmtId="14" fontId="28" fillId="0" borderId="20" xfId="0" applyNumberFormat="1" applyFont="1" applyBorder="1" applyAlignment="1">
      <alignment horizontal="center"/>
    </xf>
    <xf numFmtId="14" fontId="28" fillId="0" borderId="10" xfId="0" applyNumberFormat="1" applyFont="1" applyBorder="1" applyAlignment="1">
      <alignment horizontal="center"/>
    </xf>
    <xf numFmtId="14" fontId="28" fillId="0" borderId="17" xfId="0" applyNumberFormat="1" applyFont="1" applyBorder="1" applyAlignment="1">
      <alignment horizontal="center"/>
    </xf>
    <xf numFmtId="164" fontId="28" fillId="0" borderId="0" xfId="3239" applyFont="1"/>
    <xf numFmtId="164" fontId="28" fillId="0" borderId="0" xfId="0" applyNumberFormat="1" applyFont="1"/>
    <xf numFmtId="168" fontId="21" fillId="25" borderId="11" xfId="3282" applyNumberFormat="1" applyFont="1" applyFill="1" applyBorder="1" applyProtection="1"/>
    <xf numFmtId="167" fontId="19" fillId="0" borderId="10" xfId="3239" applyNumberFormat="1" applyFont="1" applyFill="1" applyBorder="1" applyAlignment="1">
      <alignment horizontal="right" wrapText="1"/>
    </xf>
    <xf numFmtId="167" fontId="19" fillId="0" borderId="22" xfId="3239" applyNumberFormat="1" applyFont="1" applyFill="1" applyBorder="1" applyAlignment="1">
      <alignment horizontal="right" wrapText="1"/>
    </xf>
    <xf numFmtId="164" fontId="28" fillId="0" borderId="17" xfId="3239" applyFont="1" applyBorder="1"/>
    <xf numFmtId="164" fontId="28" fillId="0" borderId="12" xfId="3239" applyFont="1" applyBorder="1"/>
    <xf numFmtId="167" fontId="19" fillId="0" borderId="11" xfId="3239" applyNumberFormat="1" applyFont="1" applyFill="1" applyBorder="1" applyAlignment="1"/>
    <xf numFmtId="167" fontId="19" fillId="0" borderId="15" xfId="3239" applyNumberFormat="1" applyFont="1" applyFill="1" applyBorder="1" applyAlignment="1" applyProtection="1">
      <alignment horizontal="center"/>
      <protection locked="0"/>
    </xf>
    <xf numFmtId="167" fontId="19" fillId="0" borderId="20" xfId="3239" applyNumberFormat="1" applyFont="1" applyFill="1" applyBorder="1" applyAlignment="1">
      <alignment horizontal="right" wrapText="1"/>
    </xf>
    <xf numFmtId="167" fontId="19" fillId="0" borderId="15" xfId="3239" applyNumberFormat="1" applyFont="1" applyFill="1" applyBorder="1" applyAlignment="1">
      <alignment horizontal="right" wrapText="1"/>
    </xf>
    <xf numFmtId="168" fontId="21" fillId="25" borderId="0" xfId="3282" applyNumberFormat="1" applyFont="1" applyFill="1" applyBorder="1" applyProtection="1"/>
    <xf numFmtId="167" fontId="19" fillId="0" borderId="34" xfId="3239" applyNumberFormat="1" applyFont="1" applyFill="1" applyBorder="1" applyAlignment="1">
      <alignment horizontal="right" wrapText="1"/>
    </xf>
    <xf numFmtId="167" fontId="19" fillId="0" borderId="35" xfId="3239" applyNumberFormat="1" applyFont="1" applyFill="1" applyBorder="1" applyAlignment="1">
      <alignment horizontal="right" wrapText="1"/>
    </xf>
    <xf numFmtId="10" fontId="29" fillId="26" borderId="27" xfId="3104" applyNumberFormat="1" applyFont="1" applyFill="1" applyBorder="1" applyAlignment="1"/>
    <xf numFmtId="164" fontId="28" fillId="0" borderId="14" xfId="3239" applyFont="1" applyBorder="1"/>
    <xf numFmtId="164" fontId="28" fillId="0" borderId="0" xfId="3239" applyFont="1" applyBorder="1"/>
    <xf numFmtId="164" fontId="28" fillId="0" borderId="0" xfId="3239" applyFont="1" applyFill="1" applyBorder="1"/>
    <xf numFmtId="167" fontId="19" fillId="0" borderId="0" xfId="3239" applyNumberFormat="1" applyFont="1" applyFill="1" applyBorder="1" applyAlignment="1"/>
    <xf numFmtId="167" fontId="19" fillId="0" borderId="0" xfId="3239" applyNumberFormat="1" applyFont="1" applyFill="1" applyBorder="1" applyAlignment="1">
      <alignment horizontal="right"/>
    </xf>
    <xf numFmtId="167" fontId="19" fillId="0" borderId="0" xfId="3239" applyNumberFormat="1" applyFont="1" applyFill="1" applyBorder="1" applyAlignment="1" applyProtection="1">
      <alignment horizontal="center"/>
      <protection locked="0"/>
    </xf>
    <xf numFmtId="9" fontId="21" fillId="0" borderId="19" xfId="3104" applyFont="1" applyFill="1" applyBorder="1" applyAlignment="1" applyProtection="1">
      <alignment horizontal="right"/>
      <protection locked="0"/>
    </xf>
    <xf numFmtId="166" fontId="21" fillId="0" borderId="0" xfId="3285" applyNumberFormat="1" applyFont="1" applyFill="1" applyBorder="1" applyAlignment="1" applyProtection="1">
      <alignment horizontal="center"/>
      <protection locked="0"/>
    </xf>
    <xf numFmtId="167" fontId="21" fillId="0" borderId="0" xfId="3239" applyNumberFormat="1" applyFont="1" applyFill="1" applyBorder="1" applyAlignment="1" applyProtection="1">
      <alignment horizontal="center"/>
      <protection locked="0"/>
    </xf>
    <xf numFmtId="9" fontId="21" fillId="0" borderId="0" xfId="3104" applyFont="1" applyFill="1" applyBorder="1" applyAlignment="1" applyProtection="1">
      <alignment horizontal="right"/>
      <protection locked="0"/>
    </xf>
    <xf numFmtId="0" fontId="19" fillId="0" borderId="0" xfId="2902" applyFont="1" applyFill="1" applyBorder="1" applyAlignment="1"/>
    <xf numFmtId="10" fontId="27" fillId="24" borderId="0" xfId="3104" applyNumberFormat="1" applyFont="1" applyFill="1" applyBorder="1"/>
    <xf numFmtId="167" fontId="28" fillId="0" borderId="0" xfId="0" applyNumberFormat="1" applyFont="1" applyBorder="1"/>
    <xf numFmtId="167" fontId="28" fillId="0" borderId="0" xfId="0" applyNumberFormat="1" applyFont="1" applyFill="1" applyBorder="1"/>
    <xf numFmtId="0" fontId="28" fillId="0" borderId="12" xfId="0" applyFont="1" applyBorder="1"/>
    <xf numFmtId="14" fontId="28" fillId="0" borderId="12" xfId="0" applyNumberFormat="1" applyFont="1" applyBorder="1" applyAlignment="1">
      <alignment horizontal="center"/>
    </xf>
    <xf numFmtId="171" fontId="27" fillId="24" borderId="0" xfId="3104" applyNumberFormat="1" applyFont="1" applyFill="1" applyBorder="1"/>
    <xf numFmtId="10" fontId="29" fillId="0" borderId="0" xfId="3104" applyNumberFormat="1" applyFont="1" applyFill="1" applyBorder="1"/>
    <xf numFmtId="164" fontId="29" fillId="0" borderId="0" xfId="3239" applyFont="1" applyFill="1" applyBorder="1"/>
    <xf numFmtId="168" fontId="21" fillId="25" borderId="18" xfId="3282" applyNumberFormat="1" applyFont="1" applyFill="1" applyBorder="1" applyProtection="1"/>
    <xf numFmtId="164" fontId="19" fillId="0" borderId="22" xfId="3239" applyFont="1" applyFill="1" applyBorder="1" applyAlignment="1">
      <alignment horizontal="right" wrapText="1"/>
    </xf>
    <xf numFmtId="164" fontId="19" fillId="0" borderId="17" xfId="3239" applyFont="1" applyFill="1" applyBorder="1" applyAlignment="1">
      <alignment horizontal="right" wrapText="1"/>
    </xf>
    <xf numFmtId="0" fontId="21" fillId="0" borderId="0" xfId="2902" applyFont="1" applyFill="1" applyBorder="1" applyAlignment="1">
      <alignment wrapText="1"/>
    </xf>
    <xf numFmtId="0" fontId="21" fillId="0" borderId="0" xfId="2902" applyFont="1" applyFill="1" applyBorder="1" applyAlignment="1">
      <alignment vertical="center" wrapText="1"/>
    </xf>
    <xf numFmtId="3" fontId="29" fillId="0" borderId="0" xfId="0" applyNumberFormat="1" applyFont="1" applyFill="1" applyBorder="1"/>
    <xf numFmtId="10" fontId="34" fillId="0" borderId="0" xfId="3104" applyNumberFormat="1" applyFont="1" applyFill="1" applyBorder="1"/>
    <xf numFmtId="0" fontId="34" fillId="0" borderId="0" xfId="0" applyFont="1" applyFill="1" applyBorder="1"/>
    <xf numFmtId="0" fontId="34" fillId="0" borderId="0" xfId="2902" applyFont="1" applyBorder="1" applyAlignment="1"/>
    <xf numFmtId="10" fontId="35" fillId="0" borderId="0" xfId="3104" applyNumberFormat="1" applyFont="1" applyFill="1" applyBorder="1"/>
    <xf numFmtId="3" fontId="35" fillId="0" borderId="0" xfId="0" applyNumberFormat="1" applyFont="1" applyFill="1" applyBorder="1"/>
    <xf numFmtId="0" fontId="34" fillId="0" borderId="0" xfId="0" applyFont="1"/>
    <xf numFmtId="10" fontId="21" fillId="0" borderId="0" xfId="3104" applyNumberFormat="1" applyFont="1" applyFill="1" applyBorder="1"/>
    <xf numFmtId="3" fontId="21" fillId="0" borderId="0" xfId="0" applyNumberFormat="1" applyFont="1" applyFill="1" applyBorder="1"/>
    <xf numFmtId="167" fontId="19" fillId="0" borderId="17" xfId="3239" applyNumberFormat="1" applyFont="1" applyFill="1" applyBorder="1" applyAlignment="1">
      <alignment wrapText="1"/>
    </xf>
    <xf numFmtId="167" fontId="28" fillId="0" borderId="14" xfId="3239" applyNumberFormat="1" applyFont="1" applyBorder="1" applyAlignment="1"/>
    <xf numFmtId="167" fontId="28" fillId="0" borderId="12" xfId="3239" applyNumberFormat="1" applyFont="1" applyBorder="1" applyAlignment="1"/>
    <xf numFmtId="167" fontId="19" fillId="0" borderId="22" xfId="3239" applyNumberFormat="1" applyFont="1" applyFill="1" applyBorder="1" applyAlignment="1">
      <alignment wrapText="1"/>
    </xf>
    <xf numFmtId="10" fontId="19" fillId="0" borderId="0" xfId="3104" applyNumberFormat="1" applyFont="1" applyFill="1" applyBorder="1"/>
    <xf numFmtId="0" fontId="19" fillId="0" borderId="0" xfId="0" applyFont="1" applyFill="1" applyBorder="1"/>
    <xf numFmtId="164" fontId="0" fillId="0" borderId="0" xfId="3239" applyFont="1"/>
    <xf numFmtId="164" fontId="0" fillId="0" borderId="23" xfId="3239" applyFont="1" applyBorder="1"/>
    <xf numFmtId="167" fontId="19" fillId="0" borderId="11" xfId="3239" applyNumberFormat="1" applyFont="1" applyFill="1" applyBorder="1"/>
    <xf numFmtId="10" fontId="19" fillId="0" borderId="11" xfId="3104" applyNumberFormat="1" applyFont="1" applyFill="1" applyBorder="1"/>
    <xf numFmtId="0" fontId="19" fillId="0" borderId="0" xfId="0" applyFont="1"/>
    <xf numFmtId="10" fontId="19" fillId="0" borderId="11" xfId="3414" applyNumberFormat="1" applyFont="1" applyFill="1" applyBorder="1"/>
    <xf numFmtId="10" fontId="19" fillId="0" borderId="0" xfId="3414" applyNumberFormat="1" applyFont="1" applyFill="1" applyBorder="1"/>
    <xf numFmtId="10" fontId="29" fillId="0" borderId="0" xfId="3414" applyNumberFormat="1" applyFont="1" applyFill="1" applyBorder="1"/>
    <xf numFmtId="10" fontId="27" fillId="24" borderId="0" xfId="3414" applyNumberFormat="1" applyFont="1" applyFill="1" applyBorder="1"/>
    <xf numFmtId="171" fontId="27" fillId="24" borderId="0" xfId="3414" applyNumberFormat="1" applyFont="1" applyFill="1" applyBorder="1"/>
    <xf numFmtId="10" fontId="21" fillId="0" borderId="0" xfId="3414" applyNumberFormat="1" applyFont="1" applyFill="1" applyBorder="1"/>
    <xf numFmtId="9" fontId="21" fillId="0" borderId="19" xfId="3414" applyFont="1" applyFill="1" applyBorder="1" applyAlignment="1" applyProtection="1">
      <alignment horizontal="right"/>
      <protection locked="0"/>
    </xf>
    <xf numFmtId="9" fontId="21" fillId="0" borderId="0" xfId="3414" applyFont="1" applyFill="1" applyBorder="1" applyAlignment="1" applyProtection="1">
      <alignment horizontal="right"/>
      <protection locked="0"/>
    </xf>
    <xf numFmtId="10" fontId="29" fillId="26" borderId="27" xfId="3414" applyNumberFormat="1" applyFont="1" applyFill="1" applyBorder="1" applyAlignment="1"/>
    <xf numFmtId="10" fontId="28" fillId="0" borderId="0" xfId="3414" applyNumberFormat="1" applyFont="1" applyFill="1"/>
    <xf numFmtId="10" fontId="36" fillId="0" borderId="0" xfId="3414" applyNumberFormat="1" applyFont="1" applyFill="1" applyBorder="1"/>
    <xf numFmtId="10" fontId="36" fillId="0" borderId="0" xfId="3414" applyNumberFormat="1" applyFont="1" applyFill="1" applyBorder="1" applyAlignment="1"/>
    <xf numFmtId="3" fontId="36" fillId="0" borderId="0" xfId="3419" applyNumberFormat="1" applyFont="1" applyFill="1" applyBorder="1" applyAlignment="1" applyProtection="1">
      <alignment horizontal="right"/>
      <protection locked="0"/>
    </xf>
    <xf numFmtId="166" fontId="36" fillId="0" borderId="0" xfId="3418" applyNumberFormat="1" applyFont="1" applyFill="1" applyBorder="1" applyAlignment="1" applyProtection="1">
      <alignment horizontal="right"/>
      <protection locked="0"/>
    </xf>
    <xf numFmtId="0" fontId="36" fillId="0" borderId="0" xfId="0" applyFont="1" applyFill="1" applyBorder="1"/>
    <xf numFmtId="0" fontId="36" fillId="0" borderId="0" xfId="2902" applyFont="1" applyBorder="1" applyAlignment="1"/>
    <xf numFmtId="0" fontId="19" fillId="0" borderId="0" xfId="0" applyFont="1" applyFill="1"/>
    <xf numFmtId="0" fontId="0" fillId="0" borderId="0" xfId="0" applyFill="1" applyAlignment="1">
      <alignment horizontal="left"/>
    </xf>
    <xf numFmtId="164" fontId="28" fillId="0" borderId="0" xfId="3239" applyFont="1" applyFill="1"/>
    <xf numFmtId="167" fontId="28" fillId="0" borderId="0" xfId="3239" applyNumberFormat="1" applyFont="1"/>
    <xf numFmtId="10" fontId="28" fillId="0" borderId="12" xfId="3414" applyNumberFormat="1" applyFont="1" applyFill="1" applyBorder="1"/>
    <xf numFmtId="10" fontId="28" fillId="0" borderId="19" xfId="3414" applyNumberFormat="1" applyFont="1" applyFill="1" applyBorder="1"/>
    <xf numFmtId="14" fontId="19" fillId="25" borderId="11" xfId="3420" applyNumberFormat="1" applyFont="1" applyFill="1" applyBorder="1"/>
    <xf numFmtId="14" fontId="19" fillId="25" borderId="11" xfId="3420" applyNumberFormat="1" applyFont="1" applyFill="1" applyBorder="1" applyAlignment="1">
      <alignment horizontal="right"/>
    </xf>
    <xf numFmtId="164" fontId="28" fillId="0" borderId="0" xfId="3420" applyFont="1" applyBorder="1"/>
    <xf numFmtId="167" fontId="19" fillId="0" borderId="11" xfId="3420" applyNumberFormat="1" applyFont="1" applyFill="1" applyBorder="1" applyAlignment="1"/>
    <xf numFmtId="164" fontId="19" fillId="0" borderId="0" xfId="3420" applyFont="1" applyFill="1" applyBorder="1" applyAlignment="1"/>
    <xf numFmtId="167" fontId="19" fillId="0" borderId="11" xfId="3420" applyNumberFormat="1" applyFont="1" applyFill="1" applyBorder="1"/>
    <xf numFmtId="170" fontId="19" fillId="0" borderId="0" xfId="3420" applyNumberFormat="1" applyFont="1" applyFill="1" applyBorder="1" applyAlignment="1"/>
    <xf numFmtId="167" fontId="28" fillId="0" borderId="11" xfId="3420" applyNumberFormat="1" applyFont="1" applyBorder="1"/>
    <xf numFmtId="167" fontId="19" fillId="0" borderId="0" xfId="3420" applyNumberFormat="1" applyFont="1" applyFill="1" applyBorder="1" applyAlignment="1"/>
    <xf numFmtId="167" fontId="27" fillId="24" borderId="11" xfId="3420" applyNumberFormat="1" applyFont="1" applyFill="1" applyBorder="1"/>
    <xf numFmtId="164" fontId="29" fillId="0" borderId="0" xfId="3420" applyFont="1" applyFill="1" applyBorder="1"/>
    <xf numFmtId="167" fontId="27" fillId="0" borderId="0" xfId="3420" applyNumberFormat="1" applyFont="1" applyFill="1" applyBorder="1"/>
    <xf numFmtId="167" fontId="19" fillId="0" borderId="12" xfId="3420" applyNumberFormat="1" applyFont="1" applyFill="1" applyBorder="1" applyAlignment="1"/>
    <xf numFmtId="167" fontId="19" fillId="0" borderId="10" xfId="3420" applyNumberFormat="1" applyFont="1" applyFill="1" applyBorder="1" applyAlignment="1"/>
    <xf numFmtId="167" fontId="19" fillId="0" borderId="0" xfId="3420" applyNumberFormat="1" applyFont="1" applyFill="1" applyBorder="1" applyAlignment="1">
      <alignment horizontal="right"/>
    </xf>
    <xf numFmtId="167" fontId="19" fillId="0" borderId="12" xfId="3420" applyNumberFormat="1" applyFont="1" applyFill="1" applyBorder="1" applyAlignment="1">
      <alignment horizontal="right"/>
    </xf>
    <xf numFmtId="167" fontId="19" fillId="0" borderId="10" xfId="3420" applyNumberFormat="1" applyFont="1" applyFill="1" applyBorder="1" applyAlignment="1">
      <alignment horizontal="right"/>
    </xf>
    <xf numFmtId="167" fontId="19" fillId="0" borderId="12" xfId="3420" applyNumberFormat="1" applyFont="1" applyFill="1" applyBorder="1" applyAlignment="1" applyProtection="1">
      <alignment horizontal="center"/>
      <protection locked="0"/>
    </xf>
    <xf numFmtId="167" fontId="19" fillId="0" borderId="10" xfId="3420" applyNumberFormat="1" applyFont="1" applyFill="1" applyBorder="1" applyAlignment="1" applyProtection="1">
      <alignment horizontal="center"/>
      <protection locked="0"/>
    </xf>
    <xf numFmtId="167" fontId="19" fillId="0" borderId="17" xfId="3420" applyNumberFormat="1" applyFont="1" applyFill="1" applyBorder="1" applyAlignment="1" applyProtection="1">
      <alignment horizontal="center"/>
      <protection locked="0"/>
    </xf>
    <xf numFmtId="167" fontId="19" fillId="0" borderId="15" xfId="3420" applyNumberFormat="1" applyFont="1" applyFill="1" applyBorder="1" applyAlignment="1" applyProtection="1">
      <alignment horizontal="center"/>
      <protection locked="0"/>
    </xf>
    <xf numFmtId="167" fontId="21" fillId="0" borderId="19" xfId="3420" applyNumberFormat="1" applyFont="1" applyFill="1" applyBorder="1" applyAlignment="1" applyProtection="1">
      <alignment horizontal="center"/>
      <protection locked="0"/>
    </xf>
    <xf numFmtId="167" fontId="19" fillId="0" borderId="0" xfId="3420" applyNumberFormat="1" applyFont="1" applyFill="1" applyBorder="1" applyAlignment="1" applyProtection="1">
      <alignment horizontal="center"/>
      <protection locked="0"/>
    </xf>
    <xf numFmtId="167" fontId="21" fillId="0" borderId="0" xfId="3420" applyNumberFormat="1" applyFont="1" applyFill="1" applyBorder="1" applyAlignment="1" applyProtection="1">
      <alignment horizontal="center"/>
      <protection locked="0"/>
    </xf>
    <xf numFmtId="164" fontId="28" fillId="0" borderId="0" xfId="3420" applyFont="1" applyFill="1"/>
    <xf numFmtId="0" fontId="28" fillId="0" borderId="0" xfId="0" applyFont="1" applyFill="1" applyAlignment="1">
      <alignment horizontal="center" vertical="center"/>
    </xf>
    <xf numFmtId="167" fontId="19" fillId="0" borderId="20" xfId="3420" applyNumberFormat="1" applyFont="1" applyFill="1" applyBorder="1" applyAlignment="1">
      <alignment horizontal="right" wrapText="1"/>
    </xf>
    <xf numFmtId="164" fontId="0" fillId="0" borderId="0" xfId="3420" applyFont="1"/>
    <xf numFmtId="167" fontId="19" fillId="0" borderId="10" xfId="3420" applyNumberFormat="1" applyFont="1" applyFill="1" applyBorder="1" applyAlignment="1">
      <alignment horizontal="right" wrapText="1"/>
    </xf>
    <xf numFmtId="167" fontId="19" fillId="0" borderId="15" xfId="3420" applyNumberFormat="1" applyFont="1" applyFill="1" applyBorder="1" applyAlignment="1">
      <alignment horizontal="right" wrapText="1"/>
    </xf>
    <xf numFmtId="164" fontId="0" fillId="0" borderId="23" xfId="3420" applyFont="1" applyBorder="1"/>
    <xf numFmtId="167" fontId="21" fillId="0" borderId="24" xfId="3420" applyNumberFormat="1" applyFont="1" applyFill="1" applyBorder="1" applyAlignment="1">
      <alignment horizontal="right"/>
    </xf>
    <xf numFmtId="167" fontId="21" fillId="0" borderId="0" xfId="3420" applyNumberFormat="1" applyFont="1" applyFill="1" applyBorder="1" applyAlignment="1">
      <alignment horizontal="right"/>
    </xf>
    <xf numFmtId="167" fontId="28" fillId="0" borderId="14" xfId="3420" applyNumberFormat="1" applyFont="1" applyBorder="1" applyAlignment="1">
      <alignment horizontal="right"/>
    </xf>
    <xf numFmtId="167" fontId="19" fillId="0" borderId="30" xfId="3420" applyNumberFormat="1" applyFont="1" applyFill="1" applyBorder="1" applyAlignment="1">
      <alignment horizontal="right"/>
    </xf>
    <xf numFmtId="167" fontId="19" fillId="0" borderId="10" xfId="3420" applyNumberFormat="1" applyFont="1" applyFill="1" applyBorder="1" applyAlignment="1" applyProtection="1">
      <alignment horizontal="right" vertical="top"/>
      <protection locked="0"/>
    </xf>
    <xf numFmtId="167" fontId="19" fillId="0" borderId="30" xfId="3420" applyNumberFormat="1" applyFont="1" applyBorder="1" applyAlignment="1">
      <alignment horizontal="right"/>
    </xf>
    <xf numFmtId="167" fontId="28" fillId="0" borderId="12" xfId="3420" applyNumberFormat="1" applyFont="1" applyBorder="1" applyAlignment="1">
      <alignment horizontal="right"/>
    </xf>
    <xf numFmtId="167" fontId="19" fillId="0" borderId="10" xfId="3420" applyNumberFormat="1" applyFont="1" applyBorder="1" applyAlignment="1" applyProtection="1">
      <alignment horizontal="right"/>
      <protection locked="0"/>
    </xf>
    <xf numFmtId="0" fontId="28" fillId="0" borderId="10" xfId="0" applyFont="1" applyFill="1" applyBorder="1"/>
    <xf numFmtId="167" fontId="19" fillId="0" borderId="12" xfId="3420" applyNumberFormat="1" applyFont="1" applyFill="1" applyBorder="1" applyAlignment="1" applyProtection="1">
      <alignment horizontal="right" vertical="top"/>
      <protection locked="0"/>
    </xf>
    <xf numFmtId="167" fontId="19" fillId="0" borderId="0" xfId="3420" applyNumberFormat="1" applyFont="1" applyFill="1" applyBorder="1" applyAlignment="1" applyProtection="1">
      <alignment horizontal="right" vertical="top"/>
      <protection locked="0"/>
    </xf>
    <xf numFmtId="167" fontId="19" fillId="0" borderId="12" xfId="3420" applyNumberFormat="1" applyFont="1" applyBorder="1" applyAlignment="1" applyProtection="1">
      <alignment horizontal="right"/>
      <protection locked="0"/>
    </xf>
    <xf numFmtId="167" fontId="28" fillId="0" borderId="27" xfId="3420" applyNumberFormat="1" applyFont="1" applyFill="1" applyBorder="1" applyAlignment="1">
      <alignment horizontal="right"/>
    </xf>
    <xf numFmtId="167" fontId="28" fillId="0" borderId="20" xfId="3420" applyNumberFormat="1" applyFont="1" applyFill="1" applyBorder="1" applyAlignment="1">
      <alignment horizontal="right"/>
    </xf>
    <xf numFmtId="167" fontId="28" fillId="0" borderId="10" xfId="3420" applyNumberFormat="1" applyFont="1" applyFill="1" applyBorder="1" applyAlignment="1">
      <alignment horizontal="right"/>
    </xf>
    <xf numFmtId="167" fontId="28" fillId="0" borderId="10" xfId="3420" applyNumberFormat="1" applyFont="1" applyBorder="1" applyAlignment="1">
      <alignment horizontal="right"/>
    </xf>
    <xf numFmtId="167" fontId="28" fillId="0" borderId="20" xfId="3420" applyNumberFormat="1" applyFont="1" applyBorder="1" applyAlignment="1">
      <alignment horizontal="right"/>
    </xf>
    <xf numFmtId="167" fontId="28" fillId="0" borderId="0" xfId="3420" applyNumberFormat="1" applyFont="1" applyFill="1" applyBorder="1" applyAlignment="1">
      <alignment horizontal="right"/>
    </xf>
    <xf numFmtId="167" fontId="28" fillId="0" borderId="17" xfId="3420" applyNumberFormat="1" applyFont="1" applyBorder="1" applyAlignment="1">
      <alignment horizontal="right"/>
    </xf>
    <xf numFmtId="167" fontId="28" fillId="0" borderId="15" xfId="3420" applyNumberFormat="1" applyFont="1" applyFill="1" applyBorder="1" applyAlignment="1">
      <alignment horizontal="right"/>
    </xf>
    <xf numFmtId="167" fontId="28" fillId="0" borderId="15" xfId="3420" applyNumberFormat="1" applyFont="1" applyBorder="1" applyAlignment="1">
      <alignment horizontal="right"/>
    </xf>
    <xf numFmtId="167" fontId="27" fillId="0" borderId="13" xfId="3420" applyNumberFormat="1" applyFont="1" applyBorder="1" applyAlignment="1">
      <alignment horizontal="right"/>
    </xf>
    <xf numFmtId="167" fontId="27" fillId="0" borderId="0" xfId="3420" applyNumberFormat="1" applyFont="1" applyBorder="1" applyAlignment="1">
      <alignment horizontal="right"/>
    </xf>
    <xf numFmtId="164" fontId="0" fillId="0" borderId="14" xfId="3420" applyFont="1" applyBorder="1"/>
    <xf numFmtId="164" fontId="0" fillId="0" borderId="12" xfId="3420" applyFont="1" applyBorder="1"/>
    <xf numFmtId="167" fontId="28" fillId="0" borderId="12" xfId="3420" applyNumberFormat="1" applyFont="1" applyFill="1" applyBorder="1"/>
    <xf numFmtId="167" fontId="28" fillId="0" borderId="10" xfId="3420" applyNumberFormat="1" applyFont="1" applyFill="1" applyBorder="1"/>
    <xf numFmtId="167" fontId="28" fillId="0" borderId="0" xfId="3420" applyNumberFormat="1" applyFont="1" applyFill="1" applyBorder="1"/>
    <xf numFmtId="167" fontId="28" fillId="0" borderId="12" xfId="3420" applyNumberFormat="1" applyFont="1" applyBorder="1"/>
    <xf numFmtId="167" fontId="28" fillId="0" borderId="0" xfId="3420" applyNumberFormat="1" applyFont="1" applyBorder="1"/>
    <xf numFmtId="167" fontId="28" fillId="0" borderId="22" xfId="3420" applyNumberFormat="1" applyFont="1" applyBorder="1"/>
    <xf numFmtId="167" fontId="28" fillId="0" borderId="19" xfId="3420" applyNumberFormat="1" applyFont="1" applyFill="1" applyBorder="1"/>
    <xf numFmtId="167" fontId="28" fillId="0" borderId="19" xfId="3420" applyNumberFormat="1" applyFont="1" applyBorder="1"/>
    <xf numFmtId="167" fontId="28" fillId="0" borderId="35" xfId="3420" applyNumberFormat="1" applyFont="1" applyBorder="1"/>
    <xf numFmtId="167" fontId="28" fillId="0" borderId="10" xfId="3420" applyNumberFormat="1" applyFont="1" applyBorder="1"/>
    <xf numFmtId="167" fontId="28" fillId="0" borderId="15" xfId="3420" applyNumberFormat="1" applyFont="1" applyFill="1" applyBorder="1"/>
    <xf numFmtId="167" fontId="28" fillId="0" borderId="15" xfId="3420" applyNumberFormat="1" applyFont="1" applyBorder="1"/>
    <xf numFmtId="167" fontId="28" fillId="0" borderId="14" xfId="3420" applyNumberFormat="1" applyFont="1" applyBorder="1"/>
    <xf numFmtId="14" fontId="28" fillId="0" borderId="0" xfId="0" applyNumberFormat="1" applyFont="1" applyBorder="1" applyAlignment="1">
      <alignment horizontal="center"/>
    </xf>
    <xf numFmtId="167" fontId="19" fillId="0" borderId="14" xfId="3420" applyNumberFormat="1" applyFont="1" applyFill="1" applyBorder="1" applyAlignment="1"/>
    <xf numFmtId="167" fontId="19" fillId="0" borderId="17" xfId="3420" applyNumberFormat="1" applyFont="1" applyFill="1" applyBorder="1" applyAlignment="1"/>
    <xf numFmtId="167" fontId="19" fillId="0" borderId="17" xfId="3420" applyNumberFormat="1" applyFont="1" applyFill="1" applyBorder="1" applyAlignment="1" applyProtection="1">
      <protection locked="0"/>
    </xf>
    <xf numFmtId="167" fontId="28" fillId="0" borderId="17" xfId="3420" applyNumberFormat="1" applyFont="1" applyBorder="1"/>
    <xf numFmtId="167" fontId="21" fillId="0" borderId="0" xfId="3420" applyNumberFormat="1" applyFont="1" applyFill="1" applyBorder="1" applyAlignment="1">
      <alignment vertical="center" wrapText="1"/>
    </xf>
    <xf numFmtId="3" fontId="36" fillId="0" borderId="0" xfId="0" applyNumberFormat="1" applyFont="1" applyFill="1" applyBorder="1"/>
    <xf numFmtId="164" fontId="36" fillId="0" borderId="0" xfId="3420" applyFont="1" applyFill="1" applyBorder="1"/>
    <xf numFmtId="167" fontId="28" fillId="0" borderId="14" xfId="3420" applyNumberFormat="1" applyFont="1" applyFill="1" applyBorder="1" applyAlignment="1">
      <alignment horizontal="right"/>
    </xf>
    <xf numFmtId="14" fontId="28" fillId="0" borderId="0" xfId="0" applyNumberFormat="1" applyFont="1" applyFill="1" applyBorder="1"/>
    <xf numFmtId="3" fontId="28" fillId="0" borderId="0" xfId="0" applyNumberFormat="1" applyFont="1" applyBorder="1"/>
    <xf numFmtId="4" fontId="28" fillId="0" borderId="0" xfId="0" applyNumberFormat="1" applyFont="1" applyBorder="1"/>
    <xf numFmtId="169" fontId="28" fillId="0" borderId="0" xfId="0" applyNumberFormat="1" applyFont="1" applyFill="1" applyBorder="1"/>
    <xf numFmtId="0" fontId="28" fillId="0" borderId="12" xfId="0" applyFont="1" applyFill="1" applyBorder="1"/>
    <xf numFmtId="167" fontId="19" fillId="0" borderId="19" xfId="3420" applyNumberFormat="1" applyFont="1" applyFill="1" applyBorder="1" applyAlignment="1"/>
    <xf numFmtId="167" fontId="28" fillId="0" borderId="17" xfId="3420" applyNumberFormat="1" applyFont="1" applyFill="1" applyBorder="1"/>
    <xf numFmtId="3" fontId="28" fillId="0" borderId="0" xfId="0" applyNumberFormat="1" applyFont="1" applyFill="1" applyBorder="1"/>
    <xf numFmtId="4" fontId="28" fillId="0" borderId="0" xfId="0" applyNumberFormat="1" applyFont="1" applyFill="1" applyBorder="1"/>
    <xf numFmtId="164" fontId="0" fillId="0" borderId="34" xfId="3420" applyFont="1" applyBorder="1"/>
    <xf numFmtId="164" fontId="0" fillId="0" borderId="22" xfId="3420" applyFont="1" applyBorder="1"/>
    <xf numFmtId="164" fontId="0" fillId="0" borderId="35" xfId="3420" applyFont="1" applyBorder="1"/>
    <xf numFmtId="4" fontId="19" fillId="0" borderId="0" xfId="3419" applyNumberFormat="1" applyFont="1" applyFill="1" applyBorder="1" applyAlignment="1" applyProtection="1">
      <alignment horizontal="right"/>
      <protection locked="0"/>
    </xf>
    <xf numFmtId="167" fontId="36" fillId="0" borderId="0" xfId="0" applyNumberFormat="1" applyFont="1" applyBorder="1"/>
    <xf numFmtId="167" fontId="36" fillId="0" borderId="0" xfId="0" applyNumberFormat="1" applyFont="1" applyFill="1" applyBorder="1"/>
    <xf numFmtId="0" fontId="36" fillId="0" borderId="0" xfId="2902" applyFont="1" applyFill="1" applyBorder="1" applyAlignment="1"/>
    <xf numFmtId="0" fontId="37" fillId="0" borderId="0" xfId="0" applyFont="1" applyFill="1" applyAlignment="1">
      <alignment horizontal="left"/>
    </xf>
    <xf numFmtId="164" fontId="36" fillId="0" borderId="0" xfId="3239" applyFont="1" applyFill="1" applyBorder="1"/>
    <xf numFmtId="167" fontId="19" fillId="0" borderId="0" xfId="0" applyNumberFormat="1" applyFont="1" applyBorder="1"/>
    <xf numFmtId="167" fontId="19" fillId="0" borderId="0" xfId="0" applyNumberFormat="1" applyFont="1" applyFill="1" applyBorder="1"/>
    <xf numFmtId="164" fontId="36" fillId="0" borderId="0" xfId="3414" applyNumberFormat="1" applyFont="1" applyFill="1" applyBorder="1" applyAlignment="1"/>
    <xf numFmtId="3" fontId="29" fillId="0" borderId="0" xfId="2022" applyNumberFormat="1" applyFont="1" applyFill="1" applyBorder="1" applyAlignment="1">
      <alignment horizontal="right" wrapText="1"/>
    </xf>
    <xf numFmtId="164" fontId="19" fillId="0" borderId="0" xfId="3414" applyNumberFormat="1" applyFont="1" applyFill="1" applyBorder="1" applyAlignment="1"/>
    <xf numFmtId="167" fontId="0" fillId="0" borderId="0" xfId="3420" applyNumberFormat="1" applyFont="1"/>
    <xf numFmtId="167" fontId="0" fillId="0" borderId="23" xfId="3420" applyNumberFormat="1" applyFont="1" applyBorder="1"/>
    <xf numFmtId="166" fontId="28" fillId="0" borderId="0" xfId="3239" applyNumberFormat="1" applyFont="1"/>
    <xf numFmtId="167" fontId="19" fillId="0" borderId="34" xfId="3420" applyNumberFormat="1" applyFont="1" applyFill="1" applyBorder="1" applyAlignment="1"/>
    <xf numFmtId="167" fontId="19" fillId="0" borderId="22" xfId="3420" applyNumberFormat="1" applyFont="1" applyFill="1" applyBorder="1" applyAlignment="1"/>
    <xf numFmtId="0" fontId="19" fillId="0" borderId="14" xfId="2902" applyFont="1" applyBorder="1" applyAlignment="1"/>
    <xf numFmtId="169" fontId="28" fillId="0" borderId="12" xfId="0" applyNumberFormat="1" applyFont="1" applyFill="1" applyBorder="1"/>
    <xf numFmtId="0" fontId="19" fillId="0" borderId="19" xfId="2902" applyFont="1" applyFill="1" applyBorder="1" applyAlignment="1"/>
    <xf numFmtId="0" fontId="19" fillId="0" borderId="19" xfId="2902" applyFont="1" applyBorder="1" applyAlignment="1"/>
    <xf numFmtId="10" fontId="27" fillId="24" borderId="20" xfId="3414" applyNumberFormat="1" applyFont="1" applyFill="1" applyBorder="1"/>
    <xf numFmtId="171" fontId="27" fillId="24" borderId="34" xfId="3414" applyNumberFormat="1" applyFont="1" applyFill="1" applyBorder="1"/>
    <xf numFmtId="10" fontId="27" fillId="24" borderId="10" xfId="3414" applyNumberFormat="1" applyFont="1" applyFill="1" applyBorder="1"/>
    <xf numFmtId="171" fontId="27" fillId="24" borderId="22" xfId="3414" applyNumberFormat="1" applyFont="1" applyFill="1" applyBorder="1"/>
    <xf numFmtId="10" fontId="27" fillId="24" borderId="13" xfId="3414" applyNumberFormat="1" applyFont="1" applyFill="1" applyBorder="1"/>
    <xf numFmtId="171" fontId="27" fillId="24" borderId="32" xfId="3414" applyNumberFormat="1" applyFont="1" applyFill="1" applyBorder="1"/>
  </cellXfs>
  <cellStyles count="342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uthevingsfarge 1 10" xfId="7" xr:uid="{00000000-0005-0000-0000-000006000000}"/>
    <cellStyle name="20% - uthevingsfarge 1 11" xfId="8" xr:uid="{00000000-0005-0000-0000-000007000000}"/>
    <cellStyle name="20% - uthevingsfarge 1 12" xfId="9" xr:uid="{00000000-0005-0000-0000-000008000000}"/>
    <cellStyle name="20% - uthevingsfarge 1 13" xfId="10" xr:uid="{00000000-0005-0000-0000-000009000000}"/>
    <cellStyle name="20% - uthevingsfarge 1 14" xfId="11" xr:uid="{00000000-0005-0000-0000-00000A000000}"/>
    <cellStyle name="20% - uthevingsfarge 1 15" xfId="12" xr:uid="{00000000-0005-0000-0000-00000B000000}"/>
    <cellStyle name="20% - uthevingsfarge 1 16" xfId="13" xr:uid="{00000000-0005-0000-0000-00000C000000}"/>
    <cellStyle name="20% - uthevingsfarge 1 2" xfId="14" xr:uid="{00000000-0005-0000-0000-00000D000000}"/>
    <cellStyle name="20% - uthevingsfarge 1 3" xfId="15" xr:uid="{00000000-0005-0000-0000-00000E000000}"/>
    <cellStyle name="20% - uthevingsfarge 1 4" xfId="16" xr:uid="{00000000-0005-0000-0000-00000F000000}"/>
    <cellStyle name="20% - uthevingsfarge 1 5" xfId="17" xr:uid="{00000000-0005-0000-0000-000010000000}"/>
    <cellStyle name="20% - uthevingsfarge 1 6" xfId="18" xr:uid="{00000000-0005-0000-0000-000011000000}"/>
    <cellStyle name="20% - uthevingsfarge 1 7" xfId="19" xr:uid="{00000000-0005-0000-0000-000012000000}"/>
    <cellStyle name="20% - uthevingsfarge 1 8" xfId="20" xr:uid="{00000000-0005-0000-0000-000013000000}"/>
    <cellStyle name="20% - uthevingsfarge 1 9" xfId="21" xr:uid="{00000000-0005-0000-0000-000014000000}"/>
    <cellStyle name="20% - uthevingsfarge 2 10" xfId="22" xr:uid="{00000000-0005-0000-0000-000015000000}"/>
    <cellStyle name="20% - uthevingsfarge 2 11" xfId="23" xr:uid="{00000000-0005-0000-0000-000016000000}"/>
    <cellStyle name="20% - uthevingsfarge 2 12" xfId="24" xr:uid="{00000000-0005-0000-0000-000017000000}"/>
    <cellStyle name="20% - uthevingsfarge 2 13" xfId="25" xr:uid="{00000000-0005-0000-0000-000018000000}"/>
    <cellStyle name="20% - uthevingsfarge 2 14" xfId="26" xr:uid="{00000000-0005-0000-0000-000019000000}"/>
    <cellStyle name="20% - uthevingsfarge 2 15" xfId="27" xr:uid="{00000000-0005-0000-0000-00001A000000}"/>
    <cellStyle name="20% - uthevingsfarge 2 16" xfId="28" xr:uid="{00000000-0005-0000-0000-00001B000000}"/>
    <cellStyle name="20% - uthevingsfarge 2 2" xfId="29" xr:uid="{00000000-0005-0000-0000-00001C000000}"/>
    <cellStyle name="20% - uthevingsfarge 2 3" xfId="30" xr:uid="{00000000-0005-0000-0000-00001D000000}"/>
    <cellStyle name="20% - uthevingsfarge 2 4" xfId="31" xr:uid="{00000000-0005-0000-0000-00001E000000}"/>
    <cellStyle name="20% - uthevingsfarge 2 5" xfId="32" xr:uid="{00000000-0005-0000-0000-00001F000000}"/>
    <cellStyle name="20% - uthevingsfarge 2 6" xfId="33" xr:uid="{00000000-0005-0000-0000-000020000000}"/>
    <cellStyle name="20% - uthevingsfarge 2 7" xfId="34" xr:uid="{00000000-0005-0000-0000-000021000000}"/>
    <cellStyle name="20% - uthevingsfarge 2 8" xfId="35" xr:uid="{00000000-0005-0000-0000-000022000000}"/>
    <cellStyle name="20% - uthevingsfarge 2 9" xfId="36" xr:uid="{00000000-0005-0000-0000-000023000000}"/>
    <cellStyle name="20% - uthevingsfarge 3 10" xfId="37" xr:uid="{00000000-0005-0000-0000-000024000000}"/>
    <cellStyle name="20% - uthevingsfarge 3 11" xfId="38" xr:uid="{00000000-0005-0000-0000-000025000000}"/>
    <cellStyle name="20% - uthevingsfarge 3 12" xfId="39" xr:uid="{00000000-0005-0000-0000-000026000000}"/>
    <cellStyle name="20% - uthevingsfarge 3 13" xfId="40" xr:uid="{00000000-0005-0000-0000-000027000000}"/>
    <cellStyle name="20% - uthevingsfarge 3 14" xfId="41" xr:uid="{00000000-0005-0000-0000-000028000000}"/>
    <cellStyle name="20% - uthevingsfarge 3 15" xfId="42" xr:uid="{00000000-0005-0000-0000-000029000000}"/>
    <cellStyle name="20% - uthevingsfarge 3 16" xfId="43" xr:uid="{00000000-0005-0000-0000-00002A000000}"/>
    <cellStyle name="20% - uthevingsfarge 3 2" xfId="44" xr:uid="{00000000-0005-0000-0000-00002B000000}"/>
    <cellStyle name="20% - uthevingsfarge 3 3" xfId="45" xr:uid="{00000000-0005-0000-0000-00002C000000}"/>
    <cellStyle name="20% - uthevingsfarge 3 4" xfId="46" xr:uid="{00000000-0005-0000-0000-00002D000000}"/>
    <cellStyle name="20% - uthevingsfarge 3 5" xfId="47" xr:uid="{00000000-0005-0000-0000-00002E000000}"/>
    <cellStyle name="20% - uthevingsfarge 3 6" xfId="48" xr:uid="{00000000-0005-0000-0000-00002F000000}"/>
    <cellStyle name="20% - uthevingsfarge 3 7" xfId="49" xr:uid="{00000000-0005-0000-0000-000030000000}"/>
    <cellStyle name="20% - uthevingsfarge 3 8" xfId="50" xr:uid="{00000000-0005-0000-0000-000031000000}"/>
    <cellStyle name="20% - uthevingsfarge 3 9" xfId="51" xr:uid="{00000000-0005-0000-0000-000032000000}"/>
    <cellStyle name="20% - uthevingsfarge 4 10" xfId="52" xr:uid="{00000000-0005-0000-0000-000033000000}"/>
    <cellStyle name="20% - uthevingsfarge 4 11" xfId="53" xr:uid="{00000000-0005-0000-0000-000034000000}"/>
    <cellStyle name="20% - uthevingsfarge 4 12" xfId="54" xr:uid="{00000000-0005-0000-0000-000035000000}"/>
    <cellStyle name="20% - uthevingsfarge 4 13" xfId="55" xr:uid="{00000000-0005-0000-0000-000036000000}"/>
    <cellStyle name="20% - uthevingsfarge 4 14" xfId="56" xr:uid="{00000000-0005-0000-0000-000037000000}"/>
    <cellStyle name="20% - uthevingsfarge 4 15" xfId="57" xr:uid="{00000000-0005-0000-0000-000038000000}"/>
    <cellStyle name="20% - uthevingsfarge 4 16" xfId="58" xr:uid="{00000000-0005-0000-0000-000039000000}"/>
    <cellStyle name="20% - uthevingsfarge 4 2" xfId="59" xr:uid="{00000000-0005-0000-0000-00003A000000}"/>
    <cellStyle name="20% - uthevingsfarge 4 3" xfId="60" xr:uid="{00000000-0005-0000-0000-00003B000000}"/>
    <cellStyle name="20% - uthevingsfarge 4 4" xfId="61" xr:uid="{00000000-0005-0000-0000-00003C000000}"/>
    <cellStyle name="20% - uthevingsfarge 4 5" xfId="62" xr:uid="{00000000-0005-0000-0000-00003D000000}"/>
    <cellStyle name="20% - uthevingsfarge 4 6" xfId="63" xr:uid="{00000000-0005-0000-0000-00003E000000}"/>
    <cellStyle name="20% - uthevingsfarge 4 7" xfId="64" xr:uid="{00000000-0005-0000-0000-00003F000000}"/>
    <cellStyle name="20% - uthevingsfarge 4 8" xfId="65" xr:uid="{00000000-0005-0000-0000-000040000000}"/>
    <cellStyle name="20% - uthevingsfarge 4 9" xfId="66" xr:uid="{00000000-0005-0000-0000-000041000000}"/>
    <cellStyle name="20% - uthevingsfarge 5 10" xfId="67" xr:uid="{00000000-0005-0000-0000-000042000000}"/>
    <cellStyle name="20% - uthevingsfarge 5 11" xfId="68" xr:uid="{00000000-0005-0000-0000-000043000000}"/>
    <cellStyle name="20% - uthevingsfarge 5 12" xfId="69" xr:uid="{00000000-0005-0000-0000-000044000000}"/>
    <cellStyle name="20% - uthevingsfarge 5 13" xfId="70" xr:uid="{00000000-0005-0000-0000-000045000000}"/>
    <cellStyle name="20% - uthevingsfarge 5 14" xfId="71" xr:uid="{00000000-0005-0000-0000-000046000000}"/>
    <cellStyle name="20% - uthevingsfarge 5 15" xfId="72" xr:uid="{00000000-0005-0000-0000-000047000000}"/>
    <cellStyle name="20% - uthevingsfarge 5 16" xfId="73" xr:uid="{00000000-0005-0000-0000-000048000000}"/>
    <cellStyle name="20% - uthevingsfarge 5 2" xfId="74" xr:uid="{00000000-0005-0000-0000-000049000000}"/>
    <cellStyle name="20% - uthevingsfarge 5 3" xfId="75" xr:uid="{00000000-0005-0000-0000-00004A000000}"/>
    <cellStyle name="20% - uthevingsfarge 5 4" xfId="76" xr:uid="{00000000-0005-0000-0000-00004B000000}"/>
    <cellStyle name="20% - uthevingsfarge 5 5" xfId="77" xr:uid="{00000000-0005-0000-0000-00004C000000}"/>
    <cellStyle name="20% - uthevingsfarge 5 6" xfId="78" xr:uid="{00000000-0005-0000-0000-00004D000000}"/>
    <cellStyle name="20% - uthevingsfarge 5 7" xfId="79" xr:uid="{00000000-0005-0000-0000-00004E000000}"/>
    <cellStyle name="20% - uthevingsfarge 5 8" xfId="80" xr:uid="{00000000-0005-0000-0000-00004F000000}"/>
    <cellStyle name="20% - uthevingsfarge 5 9" xfId="81" xr:uid="{00000000-0005-0000-0000-000050000000}"/>
    <cellStyle name="20% - uthevingsfarge 6 10" xfId="82" xr:uid="{00000000-0005-0000-0000-000051000000}"/>
    <cellStyle name="20% - uthevingsfarge 6 11" xfId="83" xr:uid="{00000000-0005-0000-0000-000052000000}"/>
    <cellStyle name="20% - uthevingsfarge 6 12" xfId="84" xr:uid="{00000000-0005-0000-0000-000053000000}"/>
    <cellStyle name="20% - uthevingsfarge 6 13" xfId="85" xr:uid="{00000000-0005-0000-0000-000054000000}"/>
    <cellStyle name="20% - uthevingsfarge 6 14" xfId="86" xr:uid="{00000000-0005-0000-0000-000055000000}"/>
    <cellStyle name="20% - uthevingsfarge 6 15" xfId="87" xr:uid="{00000000-0005-0000-0000-000056000000}"/>
    <cellStyle name="20% - uthevingsfarge 6 16" xfId="88" xr:uid="{00000000-0005-0000-0000-000057000000}"/>
    <cellStyle name="20% - uthevingsfarge 6 2" xfId="89" xr:uid="{00000000-0005-0000-0000-000058000000}"/>
    <cellStyle name="20% - uthevingsfarge 6 3" xfId="90" xr:uid="{00000000-0005-0000-0000-000059000000}"/>
    <cellStyle name="20% - uthevingsfarge 6 4" xfId="91" xr:uid="{00000000-0005-0000-0000-00005A000000}"/>
    <cellStyle name="20% - uthevingsfarge 6 5" xfId="92" xr:uid="{00000000-0005-0000-0000-00005B000000}"/>
    <cellStyle name="20% - uthevingsfarge 6 6" xfId="93" xr:uid="{00000000-0005-0000-0000-00005C000000}"/>
    <cellStyle name="20% - uthevingsfarge 6 7" xfId="94" xr:uid="{00000000-0005-0000-0000-00005D000000}"/>
    <cellStyle name="20% - uthevingsfarge 6 8" xfId="95" xr:uid="{00000000-0005-0000-0000-00005E000000}"/>
    <cellStyle name="20% - uthevingsfarge 6 9" xfId="96" xr:uid="{00000000-0005-0000-0000-00005F000000}"/>
    <cellStyle name="40% - Accent1" xfId="97" xr:uid="{00000000-0005-0000-0000-000060000000}"/>
    <cellStyle name="40% - Accent2" xfId="98" xr:uid="{00000000-0005-0000-0000-000061000000}"/>
    <cellStyle name="40% - Accent3" xfId="99" xr:uid="{00000000-0005-0000-0000-000062000000}"/>
    <cellStyle name="40% - Accent4" xfId="100" xr:uid="{00000000-0005-0000-0000-000063000000}"/>
    <cellStyle name="40% - Accent5" xfId="101" xr:uid="{00000000-0005-0000-0000-000064000000}"/>
    <cellStyle name="40% - Accent6" xfId="102" xr:uid="{00000000-0005-0000-0000-000065000000}"/>
    <cellStyle name="40% - uthevingsfarge 1 10" xfId="103" xr:uid="{00000000-0005-0000-0000-000066000000}"/>
    <cellStyle name="40% - uthevingsfarge 1 11" xfId="104" xr:uid="{00000000-0005-0000-0000-000067000000}"/>
    <cellStyle name="40% - uthevingsfarge 1 12" xfId="105" xr:uid="{00000000-0005-0000-0000-000068000000}"/>
    <cellStyle name="40% - uthevingsfarge 1 13" xfId="106" xr:uid="{00000000-0005-0000-0000-000069000000}"/>
    <cellStyle name="40% - uthevingsfarge 1 14" xfId="107" xr:uid="{00000000-0005-0000-0000-00006A000000}"/>
    <cellStyle name="40% - uthevingsfarge 1 15" xfId="108" xr:uid="{00000000-0005-0000-0000-00006B000000}"/>
    <cellStyle name="40% - uthevingsfarge 1 16" xfId="109" xr:uid="{00000000-0005-0000-0000-00006C000000}"/>
    <cellStyle name="40% - uthevingsfarge 1 2" xfId="110" xr:uid="{00000000-0005-0000-0000-00006D000000}"/>
    <cellStyle name="40% - uthevingsfarge 1 3" xfId="111" xr:uid="{00000000-0005-0000-0000-00006E000000}"/>
    <cellStyle name="40% - uthevingsfarge 1 4" xfId="112" xr:uid="{00000000-0005-0000-0000-00006F000000}"/>
    <cellStyle name="40% - uthevingsfarge 1 5" xfId="113" xr:uid="{00000000-0005-0000-0000-000070000000}"/>
    <cellStyle name="40% - uthevingsfarge 1 6" xfId="114" xr:uid="{00000000-0005-0000-0000-000071000000}"/>
    <cellStyle name="40% - uthevingsfarge 1 7" xfId="115" xr:uid="{00000000-0005-0000-0000-000072000000}"/>
    <cellStyle name="40% - uthevingsfarge 1 8" xfId="116" xr:uid="{00000000-0005-0000-0000-000073000000}"/>
    <cellStyle name="40% - uthevingsfarge 1 9" xfId="117" xr:uid="{00000000-0005-0000-0000-000074000000}"/>
    <cellStyle name="40% - uthevingsfarge 2 10" xfId="118" xr:uid="{00000000-0005-0000-0000-000075000000}"/>
    <cellStyle name="40% - uthevingsfarge 2 11" xfId="119" xr:uid="{00000000-0005-0000-0000-000076000000}"/>
    <cellStyle name="40% - uthevingsfarge 2 12" xfId="120" xr:uid="{00000000-0005-0000-0000-000077000000}"/>
    <cellStyle name="40% - uthevingsfarge 2 13" xfId="121" xr:uid="{00000000-0005-0000-0000-000078000000}"/>
    <cellStyle name="40% - uthevingsfarge 2 14" xfId="122" xr:uid="{00000000-0005-0000-0000-000079000000}"/>
    <cellStyle name="40% - uthevingsfarge 2 15" xfId="123" xr:uid="{00000000-0005-0000-0000-00007A000000}"/>
    <cellStyle name="40% - uthevingsfarge 2 16" xfId="124" xr:uid="{00000000-0005-0000-0000-00007B000000}"/>
    <cellStyle name="40% - uthevingsfarge 2 2" xfId="125" xr:uid="{00000000-0005-0000-0000-00007C000000}"/>
    <cellStyle name="40% - uthevingsfarge 2 3" xfId="126" xr:uid="{00000000-0005-0000-0000-00007D000000}"/>
    <cellStyle name="40% - uthevingsfarge 2 4" xfId="127" xr:uid="{00000000-0005-0000-0000-00007E000000}"/>
    <cellStyle name="40% - uthevingsfarge 2 5" xfId="128" xr:uid="{00000000-0005-0000-0000-00007F000000}"/>
    <cellStyle name="40% - uthevingsfarge 2 6" xfId="129" xr:uid="{00000000-0005-0000-0000-000080000000}"/>
    <cellStyle name="40% - uthevingsfarge 2 7" xfId="130" xr:uid="{00000000-0005-0000-0000-000081000000}"/>
    <cellStyle name="40% - uthevingsfarge 2 8" xfId="131" xr:uid="{00000000-0005-0000-0000-000082000000}"/>
    <cellStyle name="40% - uthevingsfarge 2 9" xfId="132" xr:uid="{00000000-0005-0000-0000-000083000000}"/>
    <cellStyle name="40% - uthevingsfarge 3 10" xfId="133" xr:uid="{00000000-0005-0000-0000-000084000000}"/>
    <cellStyle name="40% - uthevingsfarge 3 11" xfId="134" xr:uid="{00000000-0005-0000-0000-000085000000}"/>
    <cellStyle name="40% - uthevingsfarge 3 12" xfId="135" xr:uid="{00000000-0005-0000-0000-000086000000}"/>
    <cellStyle name="40% - uthevingsfarge 3 13" xfId="136" xr:uid="{00000000-0005-0000-0000-000087000000}"/>
    <cellStyle name="40% - uthevingsfarge 3 14" xfId="137" xr:uid="{00000000-0005-0000-0000-000088000000}"/>
    <cellStyle name="40% - uthevingsfarge 3 15" xfId="138" xr:uid="{00000000-0005-0000-0000-000089000000}"/>
    <cellStyle name="40% - uthevingsfarge 3 16" xfId="139" xr:uid="{00000000-0005-0000-0000-00008A000000}"/>
    <cellStyle name="40% - uthevingsfarge 3 2" xfId="140" xr:uid="{00000000-0005-0000-0000-00008B000000}"/>
    <cellStyle name="40% - uthevingsfarge 3 3" xfId="141" xr:uid="{00000000-0005-0000-0000-00008C000000}"/>
    <cellStyle name="40% - uthevingsfarge 3 4" xfId="142" xr:uid="{00000000-0005-0000-0000-00008D000000}"/>
    <cellStyle name="40% - uthevingsfarge 3 5" xfId="143" xr:uid="{00000000-0005-0000-0000-00008E000000}"/>
    <cellStyle name="40% - uthevingsfarge 3 6" xfId="144" xr:uid="{00000000-0005-0000-0000-00008F000000}"/>
    <cellStyle name="40% - uthevingsfarge 3 7" xfId="145" xr:uid="{00000000-0005-0000-0000-000090000000}"/>
    <cellStyle name="40% - uthevingsfarge 3 8" xfId="146" xr:uid="{00000000-0005-0000-0000-000091000000}"/>
    <cellStyle name="40% - uthevingsfarge 3 9" xfId="147" xr:uid="{00000000-0005-0000-0000-000092000000}"/>
    <cellStyle name="40% - uthevingsfarge 4 10" xfId="148" xr:uid="{00000000-0005-0000-0000-000093000000}"/>
    <cellStyle name="40% - uthevingsfarge 4 11" xfId="149" xr:uid="{00000000-0005-0000-0000-000094000000}"/>
    <cellStyle name="40% - uthevingsfarge 4 12" xfId="150" xr:uid="{00000000-0005-0000-0000-000095000000}"/>
    <cellStyle name="40% - uthevingsfarge 4 13" xfId="151" xr:uid="{00000000-0005-0000-0000-000096000000}"/>
    <cellStyle name="40% - uthevingsfarge 4 14" xfId="152" xr:uid="{00000000-0005-0000-0000-000097000000}"/>
    <cellStyle name="40% - uthevingsfarge 4 15" xfId="153" xr:uid="{00000000-0005-0000-0000-000098000000}"/>
    <cellStyle name="40% - uthevingsfarge 4 16" xfId="154" xr:uid="{00000000-0005-0000-0000-000099000000}"/>
    <cellStyle name="40% - uthevingsfarge 4 2" xfId="155" xr:uid="{00000000-0005-0000-0000-00009A000000}"/>
    <cellStyle name="40% - uthevingsfarge 4 3" xfId="156" xr:uid="{00000000-0005-0000-0000-00009B000000}"/>
    <cellStyle name="40% - uthevingsfarge 4 4" xfId="157" xr:uid="{00000000-0005-0000-0000-00009C000000}"/>
    <cellStyle name="40% - uthevingsfarge 4 5" xfId="158" xr:uid="{00000000-0005-0000-0000-00009D000000}"/>
    <cellStyle name="40% - uthevingsfarge 4 6" xfId="159" xr:uid="{00000000-0005-0000-0000-00009E000000}"/>
    <cellStyle name="40% - uthevingsfarge 4 7" xfId="160" xr:uid="{00000000-0005-0000-0000-00009F000000}"/>
    <cellStyle name="40% - uthevingsfarge 4 8" xfId="161" xr:uid="{00000000-0005-0000-0000-0000A0000000}"/>
    <cellStyle name="40% - uthevingsfarge 4 9" xfId="162" xr:uid="{00000000-0005-0000-0000-0000A1000000}"/>
    <cellStyle name="40% - uthevingsfarge 5 10" xfId="163" xr:uid="{00000000-0005-0000-0000-0000A2000000}"/>
    <cellStyle name="40% - uthevingsfarge 5 11" xfId="164" xr:uid="{00000000-0005-0000-0000-0000A3000000}"/>
    <cellStyle name="40% - uthevingsfarge 5 12" xfId="165" xr:uid="{00000000-0005-0000-0000-0000A4000000}"/>
    <cellStyle name="40% - uthevingsfarge 5 13" xfId="166" xr:uid="{00000000-0005-0000-0000-0000A5000000}"/>
    <cellStyle name="40% - uthevingsfarge 5 14" xfId="167" xr:uid="{00000000-0005-0000-0000-0000A6000000}"/>
    <cellStyle name="40% - uthevingsfarge 5 15" xfId="168" xr:uid="{00000000-0005-0000-0000-0000A7000000}"/>
    <cellStyle name="40% - uthevingsfarge 5 16" xfId="169" xr:uid="{00000000-0005-0000-0000-0000A8000000}"/>
    <cellStyle name="40% - uthevingsfarge 5 2" xfId="170" xr:uid="{00000000-0005-0000-0000-0000A9000000}"/>
    <cellStyle name="40% - uthevingsfarge 5 3" xfId="171" xr:uid="{00000000-0005-0000-0000-0000AA000000}"/>
    <cellStyle name="40% - uthevingsfarge 5 4" xfId="172" xr:uid="{00000000-0005-0000-0000-0000AB000000}"/>
    <cellStyle name="40% - uthevingsfarge 5 5" xfId="173" xr:uid="{00000000-0005-0000-0000-0000AC000000}"/>
    <cellStyle name="40% - uthevingsfarge 5 6" xfId="174" xr:uid="{00000000-0005-0000-0000-0000AD000000}"/>
    <cellStyle name="40% - uthevingsfarge 5 7" xfId="175" xr:uid="{00000000-0005-0000-0000-0000AE000000}"/>
    <cellStyle name="40% - uthevingsfarge 5 8" xfId="176" xr:uid="{00000000-0005-0000-0000-0000AF000000}"/>
    <cellStyle name="40% - uthevingsfarge 5 9" xfId="177" xr:uid="{00000000-0005-0000-0000-0000B0000000}"/>
    <cellStyle name="40% - uthevingsfarge 6 10" xfId="178" xr:uid="{00000000-0005-0000-0000-0000B1000000}"/>
    <cellStyle name="40% - uthevingsfarge 6 11" xfId="179" xr:uid="{00000000-0005-0000-0000-0000B2000000}"/>
    <cellStyle name="40% - uthevingsfarge 6 12" xfId="180" xr:uid="{00000000-0005-0000-0000-0000B3000000}"/>
    <cellStyle name="40% - uthevingsfarge 6 13" xfId="181" xr:uid="{00000000-0005-0000-0000-0000B4000000}"/>
    <cellStyle name="40% - uthevingsfarge 6 14" xfId="182" xr:uid="{00000000-0005-0000-0000-0000B5000000}"/>
    <cellStyle name="40% - uthevingsfarge 6 15" xfId="183" xr:uid="{00000000-0005-0000-0000-0000B6000000}"/>
    <cellStyle name="40% - uthevingsfarge 6 16" xfId="184" xr:uid="{00000000-0005-0000-0000-0000B7000000}"/>
    <cellStyle name="40% - uthevingsfarge 6 2" xfId="185" xr:uid="{00000000-0005-0000-0000-0000B8000000}"/>
    <cellStyle name="40% - uthevingsfarge 6 3" xfId="186" xr:uid="{00000000-0005-0000-0000-0000B9000000}"/>
    <cellStyle name="40% - uthevingsfarge 6 4" xfId="187" xr:uid="{00000000-0005-0000-0000-0000BA000000}"/>
    <cellStyle name="40% - uthevingsfarge 6 5" xfId="188" xr:uid="{00000000-0005-0000-0000-0000BB000000}"/>
    <cellStyle name="40% - uthevingsfarge 6 6" xfId="189" xr:uid="{00000000-0005-0000-0000-0000BC000000}"/>
    <cellStyle name="40% - uthevingsfarge 6 7" xfId="190" xr:uid="{00000000-0005-0000-0000-0000BD000000}"/>
    <cellStyle name="40% - uthevingsfarge 6 8" xfId="191" xr:uid="{00000000-0005-0000-0000-0000BE000000}"/>
    <cellStyle name="40% - uthevingsfarge 6 9" xfId="192" xr:uid="{00000000-0005-0000-0000-0000BF000000}"/>
    <cellStyle name="60% - Accent1" xfId="193" xr:uid="{00000000-0005-0000-0000-0000C0000000}"/>
    <cellStyle name="60% - Accent2" xfId="194" xr:uid="{00000000-0005-0000-0000-0000C1000000}"/>
    <cellStyle name="60% - Accent3" xfId="195" xr:uid="{00000000-0005-0000-0000-0000C2000000}"/>
    <cellStyle name="60% - Accent4" xfId="196" xr:uid="{00000000-0005-0000-0000-0000C3000000}"/>
    <cellStyle name="60% - Accent5" xfId="197" xr:uid="{00000000-0005-0000-0000-0000C4000000}"/>
    <cellStyle name="60% - Accent6" xfId="198" xr:uid="{00000000-0005-0000-0000-0000C5000000}"/>
    <cellStyle name="60% - uthevingsfarge 1 10" xfId="199" xr:uid="{00000000-0005-0000-0000-0000C6000000}"/>
    <cellStyle name="60% - uthevingsfarge 1 11" xfId="200" xr:uid="{00000000-0005-0000-0000-0000C7000000}"/>
    <cellStyle name="60% - uthevingsfarge 1 12" xfId="201" xr:uid="{00000000-0005-0000-0000-0000C8000000}"/>
    <cellStyle name="60% - uthevingsfarge 1 13" xfId="202" xr:uid="{00000000-0005-0000-0000-0000C9000000}"/>
    <cellStyle name="60% - uthevingsfarge 1 14" xfId="203" xr:uid="{00000000-0005-0000-0000-0000CA000000}"/>
    <cellStyle name="60% - uthevingsfarge 1 15" xfId="204" xr:uid="{00000000-0005-0000-0000-0000CB000000}"/>
    <cellStyle name="60% - uthevingsfarge 1 16" xfId="205" xr:uid="{00000000-0005-0000-0000-0000CC000000}"/>
    <cellStyle name="60% - uthevingsfarge 1 2" xfId="206" xr:uid="{00000000-0005-0000-0000-0000CD000000}"/>
    <cellStyle name="60% - uthevingsfarge 1 3" xfId="207" xr:uid="{00000000-0005-0000-0000-0000CE000000}"/>
    <cellStyle name="60% - uthevingsfarge 1 4" xfId="208" xr:uid="{00000000-0005-0000-0000-0000CF000000}"/>
    <cellStyle name="60% - uthevingsfarge 1 5" xfId="209" xr:uid="{00000000-0005-0000-0000-0000D0000000}"/>
    <cellStyle name="60% - uthevingsfarge 1 6" xfId="210" xr:uid="{00000000-0005-0000-0000-0000D1000000}"/>
    <cellStyle name="60% - uthevingsfarge 1 7" xfId="211" xr:uid="{00000000-0005-0000-0000-0000D2000000}"/>
    <cellStyle name="60% - uthevingsfarge 1 8" xfId="212" xr:uid="{00000000-0005-0000-0000-0000D3000000}"/>
    <cellStyle name="60% - uthevingsfarge 1 9" xfId="213" xr:uid="{00000000-0005-0000-0000-0000D4000000}"/>
    <cellStyle name="60% - uthevingsfarge 2 10" xfId="214" xr:uid="{00000000-0005-0000-0000-0000D5000000}"/>
    <cellStyle name="60% - uthevingsfarge 2 11" xfId="215" xr:uid="{00000000-0005-0000-0000-0000D6000000}"/>
    <cellStyle name="60% - uthevingsfarge 2 12" xfId="216" xr:uid="{00000000-0005-0000-0000-0000D7000000}"/>
    <cellStyle name="60% - uthevingsfarge 2 13" xfId="217" xr:uid="{00000000-0005-0000-0000-0000D8000000}"/>
    <cellStyle name="60% - uthevingsfarge 2 14" xfId="218" xr:uid="{00000000-0005-0000-0000-0000D9000000}"/>
    <cellStyle name="60% - uthevingsfarge 2 15" xfId="219" xr:uid="{00000000-0005-0000-0000-0000DA000000}"/>
    <cellStyle name="60% - uthevingsfarge 2 16" xfId="220" xr:uid="{00000000-0005-0000-0000-0000DB000000}"/>
    <cellStyle name="60% - uthevingsfarge 2 2" xfId="221" xr:uid="{00000000-0005-0000-0000-0000DC000000}"/>
    <cellStyle name="60% - uthevingsfarge 2 3" xfId="222" xr:uid="{00000000-0005-0000-0000-0000DD000000}"/>
    <cellStyle name="60% - uthevingsfarge 2 4" xfId="223" xr:uid="{00000000-0005-0000-0000-0000DE000000}"/>
    <cellStyle name="60% - uthevingsfarge 2 5" xfId="224" xr:uid="{00000000-0005-0000-0000-0000DF000000}"/>
    <cellStyle name="60% - uthevingsfarge 2 6" xfId="225" xr:uid="{00000000-0005-0000-0000-0000E0000000}"/>
    <cellStyle name="60% - uthevingsfarge 2 7" xfId="226" xr:uid="{00000000-0005-0000-0000-0000E1000000}"/>
    <cellStyle name="60% - uthevingsfarge 2 8" xfId="227" xr:uid="{00000000-0005-0000-0000-0000E2000000}"/>
    <cellStyle name="60% - uthevingsfarge 2 9" xfId="228" xr:uid="{00000000-0005-0000-0000-0000E3000000}"/>
    <cellStyle name="60% - uthevingsfarge 3 10" xfId="229" xr:uid="{00000000-0005-0000-0000-0000E4000000}"/>
    <cellStyle name="60% - uthevingsfarge 3 11" xfId="230" xr:uid="{00000000-0005-0000-0000-0000E5000000}"/>
    <cellStyle name="60% - uthevingsfarge 3 12" xfId="231" xr:uid="{00000000-0005-0000-0000-0000E6000000}"/>
    <cellStyle name="60% - uthevingsfarge 3 13" xfId="232" xr:uid="{00000000-0005-0000-0000-0000E7000000}"/>
    <cellStyle name="60% - uthevingsfarge 3 14" xfId="233" xr:uid="{00000000-0005-0000-0000-0000E8000000}"/>
    <cellStyle name="60% - uthevingsfarge 3 15" xfId="234" xr:uid="{00000000-0005-0000-0000-0000E9000000}"/>
    <cellStyle name="60% - uthevingsfarge 3 16" xfId="235" xr:uid="{00000000-0005-0000-0000-0000EA000000}"/>
    <cellStyle name="60% - uthevingsfarge 3 2" xfId="236" xr:uid="{00000000-0005-0000-0000-0000EB000000}"/>
    <cellStyle name="60% - uthevingsfarge 3 3" xfId="237" xr:uid="{00000000-0005-0000-0000-0000EC000000}"/>
    <cellStyle name="60% - uthevingsfarge 3 4" xfId="238" xr:uid="{00000000-0005-0000-0000-0000ED000000}"/>
    <cellStyle name="60% - uthevingsfarge 3 5" xfId="239" xr:uid="{00000000-0005-0000-0000-0000EE000000}"/>
    <cellStyle name="60% - uthevingsfarge 3 6" xfId="240" xr:uid="{00000000-0005-0000-0000-0000EF000000}"/>
    <cellStyle name="60% - uthevingsfarge 3 7" xfId="241" xr:uid="{00000000-0005-0000-0000-0000F0000000}"/>
    <cellStyle name="60% - uthevingsfarge 3 8" xfId="242" xr:uid="{00000000-0005-0000-0000-0000F1000000}"/>
    <cellStyle name="60% - uthevingsfarge 3 9" xfId="243" xr:uid="{00000000-0005-0000-0000-0000F2000000}"/>
    <cellStyle name="60% - uthevingsfarge 4 10" xfId="244" xr:uid="{00000000-0005-0000-0000-0000F3000000}"/>
    <cellStyle name="60% - uthevingsfarge 4 11" xfId="245" xr:uid="{00000000-0005-0000-0000-0000F4000000}"/>
    <cellStyle name="60% - uthevingsfarge 4 12" xfId="246" xr:uid="{00000000-0005-0000-0000-0000F5000000}"/>
    <cellStyle name="60% - uthevingsfarge 4 13" xfId="247" xr:uid="{00000000-0005-0000-0000-0000F6000000}"/>
    <cellStyle name="60% - uthevingsfarge 4 14" xfId="248" xr:uid="{00000000-0005-0000-0000-0000F7000000}"/>
    <cellStyle name="60% - uthevingsfarge 4 15" xfId="249" xr:uid="{00000000-0005-0000-0000-0000F8000000}"/>
    <cellStyle name="60% - uthevingsfarge 4 16" xfId="250" xr:uid="{00000000-0005-0000-0000-0000F9000000}"/>
    <cellStyle name="60% - uthevingsfarge 4 2" xfId="251" xr:uid="{00000000-0005-0000-0000-0000FA000000}"/>
    <cellStyle name="60% - uthevingsfarge 4 3" xfId="252" xr:uid="{00000000-0005-0000-0000-0000FB000000}"/>
    <cellStyle name="60% - uthevingsfarge 4 4" xfId="253" xr:uid="{00000000-0005-0000-0000-0000FC000000}"/>
    <cellStyle name="60% - uthevingsfarge 4 5" xfId="254" xr:uid="{00000000-0005-0000-0000-0000FD000000}"/>
    <cellStyle name="60% - uthevingsfarge 4 6" xfId="255" xr:uid="{00000000-0005-0000-0000-0000FE000000}"/>
    <cellStyle name="60% - uthevingsfarge 4 7" xfId="256" xr:uid="{00000000-0005-0000-0000-0000FF000000}"/>
    <cellStyle name="60% - uthevingsfarge 4 8" xfId="257" xr:uid="{00000000-0005-0000-0000-000000010000}"/>
    <cellStyle name="60% - uthevingsfarge 4 9" xfId="258" xr:uid="{00000000-0005-0000-0000-000001010000}"/>
    <cellStyle name="60% - uthevingsfarge 5 10" xfId="259" xr:uid="{00000000-0005-0000-0000-000002010000}"/>
    <cellStyle name="60% - uthevingsfarge 5 11" xfId="260" xr:uid="{00000000-0005-0000-0000-000003010000}"/>
    <cellStyle name="60% - uthevingsfarge 5 12" xfId="261" xr:uid="{00000000-0005-0000-0000-000004010000}"/>
    <cellStyle name="60% - uthevingsfarge 5 13" xfId="262" xr:uid="{00000000-0005-0000-0000-000005010000}"/>
    <cellStyle name="60% - uthevingsfarge 5 14" xfId="263" xr:uid="{00000000-0005-0000-0000-000006010000}"/>
    <cellStyle name="60% - uthevingsfarge 5 15" xfId="264" xr:uid="{00000000-0005-0000-0000-000007010000}"/>
    <cellStyle name="60% - uthevingsfarge 5 16" xfId="265" xr:uid="{00000000-0005-0000-0000-000008010000}"/>
    <cellStyle name="60% - uthevingsfarge 5 2" xfId="266" xr:uid="{00000000-0005-0000-0000-000009010000}"/>
    <cellStyle name="60% - uthevingsfarge 5 3" xfId="267" xr:uid="{00000000-0005-0000-0000-00000A010000}"/>
    <cellStyle name="60% - uthevingsfarge 5 4" xfId="268" xr:uid="{00000000-0005-0000-0000-00000B010000}"/>
    <cellStyle name="60% - uthevingsfarge 5 5" xfId="269" xr:uid="{00000000-0005-0000-0000-00000C010000}"/>
    <cellStyle name="60% - uthevingsfarge 5 6" xfId="270" xr:uid="{00000000-0005-0000-0000-00000D010000}"/>
    <cellStyle name="60% - uthevingsfarge 5 7" xfId="271" xr:uid="{00000000-0005-0000-0000-00000E010000}"/>
    <cellStyle name="60% - uthevingsfarge 5 8" xfId="272" xr:uid="{00000000-0005-0000-0000-00000F010000}"/>
    <cellStyle name="60% - uthevingsfarge 5 9" xfId="273" xr:uid="{00000000-0005-0000-0000-000010010000}"/>
    <cellStyle name="60% - uthevingsfarge 6 10" xfId="274" xr:uid="{00000000-0005-0000-0000-000011010000}"/>
    <cellStyle name="60% - uthevingsfarge 6 11" xfId="275" xr:uid="{00000000-0005-0000-0000-000012010000}"/>
    <cellStyle name="60% - uthevingsfarge 6 12" xfId="276" xr:uid="{00000000-0005-0000-0000-000013010000}"/>
    <cellStyle name="60% - uthevingsfarge 6 13" xfId="277" xr:uid="{00000000-0005-0000-0000-000014010000}"/>
    <cellStyle name="60% - uthevingsfarge 6 14" xfId="278" xr:uid="{00000000-0005-0000-0000-000015010000}"/>
    <cellStyle name="60% - uthevingsfarge 6 15" xfId="279" xr:uid="{00000000-0005-0000-0000-000016010000}"/>
    <cellStyle name="60% - uthevingsfarge 6 16" xfId="280" xr:uid="{00000000-0005-0000-0000-000017010000}"/>
    <cellStyle name="60% - uthevingsfarge 6 2" xfId="281" xr:uid="{00000000-0005-0000-0000-000018010000}"/>
    <cellStyle name="60% - uthevingsfarge 6 3" xfId="282" xr:uid="{00000000-0005-0000-0000-000019010000}"/>
    <cellStyle name="60% - uthevingsfarge 6 4" xfId="283" xr:uid="{00000000-0005-0000-0000-00001A010000}"/>
    <cellStyle name="60% - uthevingsfarge 6 5" xfId="284" xr:uid="{00000000-0005-0000-0000-00001B010000}"/>
    <cellStyle name="60% - uthevingsfarge 6 6" xfId="285" xr:uid="{00000000-0005-0000-0000-00001C010000}"/>
    <cellStyle name="60% - uthevingsfarge 6 7" xfId="286" xr:uid="{00000000-0005-0000-0000-00001D010000}"/>
    <cellStyle name="60% - uthevingsfarge 6 8" xfId="287" xr:uid="{00000000-0005-0000-0000-00001E010000}"/>
    <cellStyle name="60% - uthevingsfarge 6 9" xfId="288" xr:uid="{00000000-0005-0000-0000-00001F010000}"/>
    <cellStyle name="Accent1" xfId="289" xr:uid="{00000000-0005-0000-0000-000020010000}"/>
    <cellStyle name="Accent2" xfId="290" xr:uid="{00000000-0005-0000-0000-000021010000}"/>
    <cellStyle name="Accent3" xfId="291" xr:uid="{00000000-0005-0000-0000-000022010000}"/>
    <cellStyle name="Accent4" xfId="292" xr:uid="{00000000-0005-0000-0000-000023010000}"/>
    <cellStyle name="Accent5" xfId="293" xr:uid="{00000000-0005-0000-0000-000024010000}"/>
    <cellStyle name="Accent6" xfId="294" xr:uid="{00000000-0005-0000-0000-000025010000}"/>
    <cellStyle name="Bad" xfId="295" xr:uid="{00000000-0005-0000-0000-000026010000}"/>
    <cellStyle name="Benyttet hyperkobling 2" xfId="296" xr:uid="{00000000-0005-0000-0000-000027010000}"/>
    <cellStyle name="Beregning 10" xfId="297" xr:uid="{00000000-0005-0000-0000-000028010000}"/>
    <cellStyle name="Beregning 11" xfId="298" xr:uid="{00000000-0005-0000-0000-000029010000}"/>
    <cellStyle name="Beregning 12" xfId="299" xr:uid="{00000000-0005-0000-0000-00002A010000}"/>
    <cellStyle name="Beregning 13" xfId="300" xr:uid="{00000000-0005-0000-0000-00002B010000}"/>
    <cellStyle name="Beregning 14" xfId="301" xr:uid="{00000000-0005-0000-0000-00002C010000}"/>
    <cellStyle name="Beregning 15" xfId="302" xr:uid="{00000000-0005-0000-0000-00002D010000}"/>
    <cellStyle name="Beregning 16" xfId="303" xr:uid="{00000000-0005-0000-0000-00002E010000}"/>
    <cellStyle name="Beregning 2" xfId="304" xr:uid="{00000000-0005-0000-0000-00002F010000}"/>
    <cellStyle name="Beregning 3" xfId="305" xr:uid="{00000000-0005-0000-0000-000030010000}"/>
    <cellStyle name="Beregning 4" xfId="306" xr:uid="{00000000-0005-0000-0000-000031010000}"/>
    <cellStyle name="Beregning 5" xfId="307" xr:uid="{00000000-0005-0000-0000-000032010000}"/>
    <cellStyle name="Beregning 6" xfId="308" xr:uid="{00000000-0005-0000-0000-000033010000}"/>
    <cellStyle name="Beregning 7" xfId="309" xr:uid="{00000000-0005-0000-0000-000034010000}"/>
    <cellStyle name="Beregning 8" xfId="310" xr:uid="{00000000-0005-0000-0000-000035010000}"/>
    <cellStyle name="Beregning 9" xfId="311" xr:uid="{00000000-0005-0000-0000-000036010000}"/>
    <cellStyle name="Calculation" xfId="312" xr:uid="{00000000-0005-0000-0000-000037010000}"/>
    <cellStyle name="Check Cell" xfId="313" xr:uid="{00000000-0005-0000-0000-000038010000}"/>
    <cellStyle name="Dårlig 10" xfId="314" xr:uid="{00000000-0005-0000-0000-000039010000}"/>
    <cellStyle name="Dårlig 11" xfId="315" xr:uid="{00000000-0005-0000-0000-00003A010000}"/>
    <cellStyle name="Dårlig 12" xfId="316" xr:uid="{00000000-0005-0000-0000-00003B010000}"/>
    <cellStyle name="Dårlig 13" xfId="317" xr:uid="{00000000-0005-0000-0000-00003C010000}"/>
    <cellStyle name="Dårlig 14" xfId="318" xr:uid="{00000000-0005-0000-0000-00003D010000}"/>
    <cellStyle name="Dårlig 15" xfId="319" xr:uid="{00000000-0005-0000-0000-00003E010000}"/>
    <cellStyle name="Dårlig 16" xfId="320" xr:uid="{00000000-0005-0000-0000-00003F010000}"/>
    <cellStyle name="Dårlig 2" xfId="321" xr:uid="{00000000-0005-0000-0000-000040010000}"/>
    <cellStyle name="Dårlig 3" xfId="322" xr:uid="{00000000-0005-0000-0000-000041010000}"/>
    <cellStyle name="Dårlig 4" xfId="323" xr:uid="{00000000-0005-0000-0000-000042010000}"/>
    <cellStyle name="Dårlig 5" xfId="324" xr:uid="{00000000-0005-0000-0000-000043010000}"/>
    <cellStyle name="Dårlig 6" xfId="325" xr:uid="{00000000-0005-0000-0000-000044010000}"/>
    <cellStyle name="Dårlig 7" xfId="326" xr:uid="{00000000-0005-0000-0000-000045010000}"/>
    <cellStyle name="Dårlig 8" xfId="327" xr:uid="{00000000-0005-0000-0000-000046010000}"/>
    <cellStyle name="Dårlig 9" xfId="328" xr:uid="{00000000-0005-0000-0000-000047010000}"/>
    <cellStyle name="Explanatory Text" xfId="329" xr:uid="{00000000-0005-0000-0000-000048010000}"/>
    <cellStyle name="Forklarende tekst 10" xfId="330" xr:uid="{00000000-0005-0000-0000-000049010000}"/>
    <cellStyle name="Forklarende tekst 11" xfId="331" xr:uid="{00000000-0005-0000-0000-00004A010000}"/>
    <cellStyle name="Forklarende tekst 12" xfId="332" xr:uid="{00000000-0005-0000-0000-00004B010000}"/>
    <cellStyle name="Forklarende tekst 13" xfId="333" xr:uid="{00000000-0005-0000-0000-00004C010000}"/>
    <cellStyle name="Forklarende tekst 14" xfId="334" xr:uid="{00000000-0005-0000-0000-00004D010000}"/>
    <cellStyle name="Forklarende tekst 15" xfId="335" xr:uid="{00000000-0005-0000-0000-00004E010000}"/>
    <cellStyle name="Forklarende tekst 16" xfId="336" xr:uid="{00000000-0005-0000-0000-00004F010000}"/>
    <cellStyle name="Forklarende tekst 2" xfId="337" xr:uid="{00000000-0005-0000-0000-000050010000}"/>
    <cellStyle name="Forklarende tekst 3" xfId="338" xr:uid="{00000000-0005-0000-0000-000051010000}"/>
    <cellStyle name="Forklarende tekst 4" xfId="339" xr:uid="{00000000-0005-0000-0000-000052010000}"/>
    <cellStyle name="Forklarende tekst 5" xfId="340" xr:uid="{00000000-0005-0000-0000-000053010000}"/>
    <cellStyle name="Forklarende tekst 6" xfId="341" xr:uid="{00000000-0005-0000-0000-000054010000}"/>
    <cellStyle name="Forklarende tekst 7" xfId="342" xr:uid="{00000000-0005-0000-0000-000055010000}"/>
    <cellStyle name="Forklarende tekst 8" xfId="343" xr:uid="{00000000-0005-0000-0000-000056010000}"/>
    <cellStyle name="Forklarende tekst 9" xfId="344" xr:uid="{00000000-0005-0000-0000-000057010000}"/>
    <cellStyle name="God 10" xfId="345" xr:uid="{00000000-0005-0000-0000-000058010000}"/>
    <cellStyle name="God 11" xfId="346" xr:uid="{00000000-0005-0000-0000-000059010000}"/>
    <cellStyle name="God 12" xfId="347" xr:uid="{00000000-0005-0000-0000-00005A010000}"/>
    <cellStyle name="God 13" xfId="348" xr:uid="{00000000-0005-0000-0000-00005B010000}"/>
    <cellStyle name="God 14" xfId="349" xr:uid="{00000000-0005-0000-0000-00005C010000}"/>
    <cellStyle name="God 15" xfId="350" xr:uid="{00000000-0005-0000-0000-00005D010000}"/>
    <cellStyle name="God 16" xfId="351" xr:uid="{00000000-0005-0000-0000-00005E010000}"/>
    <cellStyle name="God 2" xfId="352" xr:uid="{00000000-0005-0000-0000-00005F010000}"/>
    <cellStyle name="God 3" xfId="353" xr:uid="{00000000-0005-0000-0000-000060010000}"/>
    <cellStyle name="God 4" xfId="354" xr:uid="{00000000-0005-0000-0000-000061010000}"/>
    <cellStyle name="God 5" xfId="355" xr:uid="{00000000-0005-0000-0000-000062010000}"/>
    <cellStyle name="God 6" xfId="356" xr:uid="{00000000-0005-0000-0000-000063010000}"/>
    <cellStyle name="God 7" xfId="357" xr:uid="{00000000-0005-0000-0000-000064010000}"/>
    <cellStyle name="God 8" xfId="358" xr:uid="{00000000-0005-0000-0000-000065010000}"/>
    <cellStyle name="God 9" xfId="359" xr:uid="{00000000-0005-0000-0000-000066010000}"/>
    <cellStyle name="Good" xfId="360" xr:uid="{00000000-0005-0000-0000-000067010000}"/>
    <cellStyle name="Heading 1" xfId="361" xr:uid="{00000000-0005-0000-0000-000068010000}"/>
    <cellStyle name="Heading 2" xfId="362" xr:uid="{00000000-0005-0000-0000-000069010000}"/>
    <cellStyle name="Heading 3" xfId="363" xr:uid="{00000000-0005-0000-0000-00006A010000}"/>
    <cellStyle name="Heading 4" xfId="364" xr:uid="{00000000-0005-0000-0000-00006B010000}"/>
    <cellStyle name="Hyperkobling 2" xfId="365" xr:uid="{00000000-0005-0000-0000-00006C010000}"/>
    <cellStyle name="Hyperlink_PbP" xfId="366" xr:uid="{00000000-0005-0000-0000-00006D010000}"/>
    <cellStyle name="Inndata 10" xfId="367" xr:uid="{00000000-0005-0000-0000-00006E010000}"/>
    <cellStyle name="Inndata 11" xfId="368" xr:uid="{00000000-0005-0000-0000-00006F010000}"/>
    <cellStyle name="Inndata 12" xfId="369" xr:uid="{00000000-0005-0000-0000-000070010000}"/>
    <cellStyle name="Inndata 13" xfId="370" xr:uid="{00000000-0005-0000-0000-000071010000}"/>
    <cellStyle name="Inndata 14" xfId="371" xr:uid="{00000000-0005-0000-0000-000072010000}"/>
    <cellStyle name="Inndata 15" xfId="372" xr:uid="{00000000-0005-0000-0000-000073010000}"/>
    <cellStyle name="Inndata 16" xfId="373" xr:uid="{00000000-0005-0000-0000-000074010000}"/>
    <cellStyle name="Inndata 2" xfId="374" xr:uid="{00000000-0005-0000-0000-000075010000}"/>
    <cellStyle name="Inndata 3" xfId="375" xr:uid="{00000000-0005-0000-0000-000076010000}"/>
    <cellStyle name="Inndata 4" xfId="376" xr:uid="{00000000-0005-0000-0000-000077010000}"/>
    <cellStyle name="Inndata 5" xfId="377" xr:uid="{00000000-0005-0000-0000-000078010000}"/>
    <cellStyle name="Inndata 6" xfId="378" xr:uid="{00000000-0005-0000-0000-000079010000}"/>
    <cellStyle name="Inndata 7" xfId="379" xr:uid="{00000000-0005-0000-0000-00007A010000}"/>
    <cellStyle name="Inndata 8" xfId="380" xr:uid="{00000000-0005-0000-0000-00007B010000}"/>
    <cellStyle name="Inndata 9" xfId="381" xr:uid="{00000000-0005-0000-0000-00007C010000}"/>
    <cellStyle name="Input" xfId="382" xr:uid="{00000000-0005-0000-0000-00007D010000}"/>
    <cellStyle name="Koblet celle 10" xfId="383" xr:uid="{00000000-0005-0000-0000-00007E010000}"/>
    <cellStyle name="Koblet celle 11" xfId="384" xr:uid="{00000000-0005-0000-0000-00007F010000}"/>
    <cellStyle name="Koblet celle 12" xfId="385" xr:uid="{00000000-0005-0000-0000-000080010000}"/>
    <cellStyle name="Koblet celle 13" xfId="386" xr:uid="{00000000-0005-0000-0000-000081010000}"/>
    <cellStyle name="Koblet celle 14" xfId="387" xr:uid="{00000000-0005-0000-0000-000082010000}"/>
    <cellStyle name="Koblet celle 15" xfId="388" xr:uid="{00000000-0005-0000-0000-000083010000}"/>
    <cellStyle name="Koblet celle 16" xfId="389" xr:uid="{00000000-0005-0000-0000-000084010000}"/>
    <cellStyle name="Koblet celle 2" xfId="390" xr:uid="{00000000-0005-0000-0000-000085010000}"/>
    <cellStyle name="Koblet celle 3" xfId="391" xr:uid="{00000000-0005-0000-0000-000086010000}"/>
    <cellStyle name="Koblet celle 4" xfId="392" xr:uid="{00000000-0005-0000-0000-000087010000}"/>
    <cellStyle name="Koblet celle 5" xfId="393" xr:uid="{00000000-0005-0000-0000-000088010000}"/>
    <cellStyle name="Koblet celle 6" xfId="394" xr:uid="{00000000-0005-0000-0000-000089010000}"/>
    <cellStyle name="Koblet celle 7" xfId="395" xr:uid="{00000000-0005-0000-0000-00008A010000}"/>
    <cellStyle name="Koblet celle 8" xfId="396" xr:uid="{00000000-0005-0000-0000-00008B010000}"/>
    <cellStyle name="Koblet celle 9" xfId="397" xr:uid="{00000000-0005-0000-0000-00008C010000}"/>
    <cellStyle name="Komma" xfId="3239" builtinId="3"/>
    <cellStyle name="Komma 2" xfId="398" xr:uid="{00000000-0005-0000-0000-00008E010000}"/>
    <cellStyle name="Komma 2 2" xfId="399" xr:uid="{00000000-0005-0000-0000-00008F010000}"/>
    <cellStyle name="Komma 3" xfId="3420" xr:uid="{00000000-0005-0000-0000-000090010000}"/>
    <cellStyle name="Kontrollcelle 10" xfId="400" xr:uid="{00000000-0005-0000-0000-000091010000}"/>
    <cellStyle name="Kontrollcelle 11" xfId="401" xr:uid="{00000000-0005-0000-0000-000092010000}"/>
    <cellStyle name="Kontrollcelle 12" xfId="402" xr:uid="{00000000-0005-0000-0000-000093010000}"/>
    <cellStyle name="Kontrollcelle 13" xfId="403" xr:uid="{00000000-0005-0000-0000-000094010000}"/>
    <cellStyle name="Kontrollcelle 14" xfId="404" xr:uid="{00000000-0005-0000-0000-000095010000}"/>
    <cellStyle name="Kontrollcelle 15" xfId="405" xr:uid="{00000000-0005-0000-0000-000096010000}"/>
    <cellStyle name="Kontrollcelle 16" xfId="406" xr:uid="{00000000-0005-0000-0000-000097010000}"/>
    <cellStyle name="Kontrollcelle 2" xfId="407" xr:uid="{00000000-0005-0000-0000-000098010000}"/>
    <cellStyle name="Kontrollcelle 3" xfId="408" xr:uid="{00000000-0005-0000-0000-000099010000}"/>
    <cellStyle name="Kontrollcelle 4" xfId="409" xr:uid="{00000000-0005-0000-0000-00009A010000}"/>
    <cellStyle name="Kontrollcelle 5" xfId="410" xr:uid="{00000000-0005-0000-0000-00009B010000}"/>
    <cellStyle name="Kontrollcelle 6" xfId="411" xr:uid="{00000000-0005-0000-0000-00009C010000}"/>
    <cellStyle name="Kontrollcelle 7" xfId="412" xr:uid="{00000000-0005-0000-0000-00009D010000}"/>
    <cellStyle name="Kontrollcelle 8" xfId="413" xr:uid="{00000000-0005-0000-0000-00009E010000}"/>
    <cellStyle name="Kontrollcelle 9" xfId="414" xr:uid="{00000000-0005-0000-0000-00009F010000}"/>
    <cellStyle name="Linked Cell" xfId="415" xr:uid="{00000000-0005-0000-0000-0000A0010000}"/>
    <cellStyle name="Merknad 10" xfId="416" xr:uid="{00000000-0005-0000-0000-0000A1010000}"/>
    <cellStyle name="Merknad 11" xfId="417" xr:uid="{00000000-0005-0000-0000-0000A2010000}"/>
    <cellStyle name="Merknad 12" xfId="418" xr:uid="{00000000-0005-0000-0000-0000A3010000}"/>
    <cellStyle name="Merknad 13" xfId="419" xr:uid="{00000000-0005-0000-0000-0000A4010000}"/>
    <cellStyle name="Merknad 14" xfId="420" xr:uid="{00000000-0005-0000-0000-0000A5010000}"/>
    <cellStyle name="Merknad 15" xfId="421" xr:uid="{00000000-0005-0000-0000-0000A6010000}"/>
    <cellStyle name="Merknad 16" xfId="422" xr:uid="{00000000-0005-0000-0000-0000A7010000}"/>
    <cellStyle name="Merknad 2" xfId="423" xr:uid="{00000000-0005-0000-0000-0000A8010000}"/>
    <cellStyle name="Merknad 3" xfId="424" xr:uid="{00000000-0005-0000-0000-0000A9010000}"/>
    <cellStyle name="Merknad 4" xfId="425" xr:uid="{00000000-0005-0000-0000-0000AA010000}"/>
    <cellStyle name="Merknad 5" xfId="426" xr:uid="{00000000-0005-0000-0000-0000AB010000}"/>
    <cellStyle name="Merknad 6" xfId="427" xr:uid="{00000000-0005-0000-0000-0000AC010000}"/>
    <cellStyle name="Merknad 7" xfId="428" xr:uid="{00000000-0005-0000-0000-0000AD010000}"/>
    <cellStyle name="Merknad 8" xfId="429" xr:uid="{00000000-0005-0000-0000-0000AE010000}"/>
    <cellStyle name="Merknad 9" xfId="430" xr:uid="{00000000-0005-0000-0000-0000AF010000}"/>
    <cellStyle name="Neutral" xfId="431" xr:uid="{00000000-0005-0000-0000-0000B0010000}"/>
    <cellStyle name="Normal" xfId="0" builtinId="0"/>
    <cellStyle name="Normal 10" xfId="432" xr:uid="{00000000-0005-0000-0000-0000B2010000}"/>
    <cellStyle name="Normal 10 2" xfId="433" xr:uid="{00000000-0005-0000-0000-0000B3010000}"/>
    <cellStyle name="Normal 10 2 10" xfId="434" xr:uid="{00000000-0005-0000-0000-0000B4010000}"/>
    <cellStyle name="Normal 10 2 2" xfId="435" xr:uid="{00000000-0005-0000-0000-0000B5010000}"/>
    <cellStyle name="Normal 10 2 3" xfId="436" xr:uid="{00000000-0005-0000-0000-0000B6010000}"/>
    <cellStyle name="Normal 10 2 4" xfId="437" xr:uid="{00000000-0005-0000-0000-0000B7010000}"/>
    <cellStyle name="Normal 10 2 5" xfId="438" xr:uid="{00000000-0005-0000-0000-0000B8010000}"/>
    <cellStyle name="Normal 10 2 6" xfId="439" xr:uid="{00000000-0005-0000-0000-0000B9010000}"/>
    <cellStyle name="Normal 10 2 7" xfId="440" xr:uid="{00000000-0005-0000-0000-0000BA010000}"/>
    <cellStyle name="Normal 10 2 8" xfId="441" xr:uid="{00000000-0005-0000-0000-0000BB010000}"/>
    <cellStyle name="Normal 10 2 9" xfId="442" xr:uid="{00000000-0005-0000-0000-0000BC010000}"/>
    <cellStyle name="Normal 10 3" xfId="443" xr:uid="{00000000-0005-0000-0000-0000BD010000}"/>
    <cellStyle name="Normal 10 3 10" xfId="444" xr:uid="{00000000-0005-0000-0000-0000BE010000}"/>
    <cellStyle name="Normal 10 3 2" xfId="445" xr:uid="{00000000-0005-0000-0000-0000BF010000}"/>
    <cellStyle name="Normal 10 3 3" xfId="446" xr:uid="{00000000-0005-0000-0000-0000C0010000}"/>
    <cellStyle name="Normal 10 3 4" xfId="447" xr:uid="{00000000-0005-0000-0000-0000C1010000}"/>
    <cellStyle name="Normal 10 3 5" xfId="448" xr:uid="{00000000-0005-0000-0000-0000C2010000}"/>
    <cellStyle name="Normal 10 3 6" xfId="449" xr:uid="{00000000-0005-0000-0000-0000C3010000}"/>
    <cellStyle name="Normal 10 3 7" xfId="450" xr:uid="{00000000-0005-0000-0000-0000C4010000}"/>
    <cellStyle name="Normal 10 3 8" xfId="451" xr:uid="{00000000-0005-0000-0000-0000C5010000}"/>
    <cellStyle name="Normal 10 3 9" xfId="452" xr:uid="{00000000-0005-0000-0000-0000C6010000}"/>
    <cellStyle name="Normal 10 4" xfId="453" xr:uid="{00000000-0005-0000-0000-0000C7010000}"/>
    <cellStyle name="Normal 10 4 10" xfId="454" xr:uid="{00000000-0005-0000-0000-0000C8010000}"/>
    <cellStyle name="Normal 10 4 2" xfId="455" xr:uid="{00000000-0005-0000-0000-0000C9010000}"/>
    <cellStyle name="Normal 10 4 3" xfId="456" xr:uid="{00000000-0005-0000-0000-0000CA010000}"/>
    <cellStyle name="Normal 10 4 4" xfId="457" xr:uid="{00000000-0005-0000-0000-0000CB010000}"/>
    <cellStyle name="Normal 10 4 5" xfId="458" xr:uid="{00000000-0005-0000-0000-0000CC010000}"/>
    <cellStyle name="Normal 10 4 6" xfId="459" xr:uid="{00000000-0005-0000-0000-0000CD010000}"/>
    <cellStyle name="Normal 10 4 7" xfId="460" xr:uid="{00000000-0005-0000-0000-0000CE010000}"/>
    <cellStyle name="Normal 10 4 8" xfId="461" xr:uid="{00000000-0005-0000-0000-0000CF010000}"/>
    <cellStyle name="Normal 10 4 9" xfId="462" xr:uid="{00000000-0005-0000-0000-0000D0010000}"/>
    <cellStyle name="Normal 10 5" xfId="463" xr:uid="{00000000-0005-0000-0000-0000D1010000}"/>
    <cellStyle name="Normal 10 5 10" xfId="464" xr:uid="{00000000-0005-0000-0000-0000D2010000}"/>
    <cellStyle name="Normal 10 5 2" xfId="465" xr:uid="{00000000-0005-0000-0000-0000D3010000}"/>
    <cellStyle name="Normal 10 5 3" xfId="466" xr:uid="{00000000-0005-0000-0000-0000D4010000}"/>
    <cellStyle name="Normal 10 5 4" xfId="467" xr:uid="{00000000-0005-0000-0000-0000D5010000}"/>
    <cellStyle name="Normal 10 5 5" xfId="468" xr:uid="{00000000-0005-0000-0000-0000D6010000}"/>
    <cellStyle name="Normal 10 5 6" xfId="469" xr:uid="{00000000-0005-0000-0000-0000D7010000}"/>
    <cellStyle name="Normal 10 5 7" xfId="470" xr:uid="{00000000-0005-0000-0000-0000D8010000}"/>
    <cellStyle name="Normal 10 5 8" xfId="471" xr:uid="{00000000-0005-0000-0000-0000D9010000}"/>
    <cellStyle name="Normal 10 5 9" xfId="472" xr:uid="{00000000-0005-0000-0000-0000DA010000}"/>
    <cellStyle name="Normal 10 6" xfId="473" xr:uid="{00000000-0005-0000-0000-0000DB010000}"/>
    <cellStyle name="Normal 10 6 2" xfId="474" xr:uid="{00000000-0005-0000-0000-0000DC010000}"/>
    <cellStyle name="Normal 10 6 3" xfId="475" xr:uid="{00000000-0005-0000-0000-0000DD010000}"/>
    <cellStyle name="Normal 10 6 4" xfId="476" xr:uid="{00000000-0005-0000-0000-0000DE010000}"/>
    <cellStyle name="Normal 10 6 5" xfId="477" xr:uid="{00000000-0005-0000-0000-0000DF010000}"/>
    <cellStyle name="Normal 10 6 6" xfId="478" xr:uid="{00000000-0005-0000-0000-0000E0010000}"/>
    <cellStyle name="Normal 10 6 7" xfId="479" xr:uid="{00000000-0005-0000-0000-0000E1010000}"/>
    <cellStyle name="Normal 10 6 8" xfId="480" xr:uid="{00000000-0005-0000-0000-0000E2010000}"/>
    <cellStyle name="Normal 10 6 9" xfId="481" xr:uid="{00000000-0005-0000-0000-0000E3010000}"/>
    <cellStyle name="Normal 10 7" xfId="482" xr:uid="{00000000-0005-0000-0000-0000E4010000}"/>
    <cellStyle name="Normal 10 7 2" xfId="483" xr:uid="{00000000-0005-0000-0000-0000E5010000}"/>
    <cellStyle name="Normal 10 7 3" xfId="484" xr:uid="{00000000-0005-0000-0000-0000E6010000}"/>
    <cellStyle name="Normal 10 7 4" xfId="485" xr:uid="{00000000-0005-0000-0000-0000E7010000}"/>
    <cellStyle name="Normal 10 7 5" xfId="486" xr:uid="{00000000-0005-0000-0000-0000E8010000}"/>
    <cellStyle name="Normal 10 7 6" xfId="487" xr:uid="{00000000-0005-0000-0000-0000E9010000}"/>
    <cellStyle name="Normal 10 7 7" xfId="488" xr:uid="{00000000-0005-0000-0000-0000EA010000}"/>
    <cellStyle name="Normal 10 7 8" xfId="489" xr:uid="{00000000-0005-0000-0000-0000EB010000}"/>
    <cellStyle name="Normal 10 7 9" xfId="490" xr:uid="{00000000-0005-0000-0000-0000EC010000}"/>
    <cellStyle name="Normal 10 8" xfId="491" xr:uid="{00000000-0005-0000-0000-0000ED010000}"/>
    <cellStyle name="Normal 10 9" xfId="492" xr:uid="{00000000-0005-0000-0000-0000EE010000}"/>
    <cellStyle name="Normal 11" xfId="493" xr:uid="{00000000-0005-0000-0000-0000EF010000}"/>
    <cellStyle name="Normal 11 2" xfId="494" xr:uid="{00000000-0005-0000-0000-0000F0010000}"/>
    <cellStyle name="Normal 11 3" xfId="495" xr:uid="{00000000-0005-0000-0000-0000F1010000}"/>
    <cellStyle name="Normal 11 4" xfId="496" xr:uid="{00000000-0005-0000-0000-0000F2010000}"/>
    <cellStyle name="Normal 11 5" xfId="497" xr:uid="{00000000-0005-0000-0000-0000F3010000}"/>
    <cellStyle name="Normal 11 6" xfId="498" xr:uid="{00000000-0005-0000-0000-0000F4010000}"/>
    <cellStyle name="Normal 11 7" xfId="499" xr:uid="{00000000-0005-0000-0000-0000F5010000}"/>
    <cellStyle name="Normal 11 8" xfId="500" xr:uid="{00000000-0005-0000-0000-0000F6010000}"/>
    <cellStyle name="Normal 11 9" xfId="501" xr:uid="{00000000-0005-0000-0000-0000F7010000}"/>
    <cellStyle name="Normal 12" xfId="502" xr:uid="{00000000-0005-0000-0000-0000F8010000}"/>
    <cellStyle name="Normal 12 2" xfId="503" xr:uid="{00000000-0005-0000-0000-0000F9010000}"/>
    <cellStyle name="Normal 12 2 10" xfId="504" xr:uid="{00000000-0005-0000-0000-0000FA010000}"/>
    <cellStyle name="Normal 12 2 2" xfId="505" xr:uid="{00000000-0005-0000-0000-0000FB010000}"/>
    <cellStyle name="Normal 12 2 3" xfId="506" xr:uid="{00000000-0005-0000-0000-0000FC010000}"/>
    <cellStyle name="Normal 12 2 4" xfId="507" xr:uid="{00000000-0005-0000-0000-0000FD010000}"/>
    <cellStyle name="Normal 12 2 5" xfId="508" xr:uid="{00000000-0005-0000-0000-0000FE010000}"/>
    <cellStyle name="Normal 12 2 6" xfId="509" xr:uid="{00000000-0005-0000-0000-0000FF010000}"/>
    <cellStyle name="Normal 12 2 7" xfId="510" xr:uid="{00000000-0005-0000-0000-000000020000}"/>
    <cellStyle name="Normal 12 2 8" xfId="511" xr:uid="{00000000-0005-0000-0000-000001020000}"/>
    <cellStyle name="Normal 12 2 9" xfId="512" xr:uid="{00000000-0005-0000-0000-000002020000}"/>
    <cellStyle name="Normal 12 3" xfId="513" xr:uid="{00000000-0005-0000-0000-000003020000}"/>
    <cellStyle name="Normal 12 3 10" xfId="514" xr:uid="{00000000-0005-0000-0000-000004020000}"/>
    <cellStyle name="Normal 12 3 2" xfId="515" xr:uid="{00000000-0005-0000-0000-000005020000}"/>
    <cellStyle name="Normal 12 3 3" xfId="516" xr:uid="{00000000-0005-0000-0000-000006020000}"/>
    <cellStyle name="Normal 12 3 4" xfId="517" xr:uid="{00000000-0005-0000-0000-000007020000}"/>
    <cellStyle name="Normal 12 3 5" xfId="518" xr:uid="{00000000-0005-0000-0000-000008020000}"/>
    <cellStyle name="Normal 12 3 6" xfId="519" xr:uid="{00000000-0005-0000-0000-000009020000}"/>
    <cellStyle name="Normal 12 3 7" xfId="520" xr:uid="{00000000-0005-0000-0000-00000A020000}"/>
    <cellStyle name="Normal 12 3 8" xfId="521" xr:uid="{00000000-0005-0000-0000-00000B020000}"/>
    <cellStyle name="Normal 12 3 9" xfId="522" xr:uid="{00000000-0005-0000-0000-00000C020000}"/>
    <cellStyle name="Normal 12 4" xfId="523" xr:uid="{00000000-0005-0000-0000-00000D020000}"/>
    <cellStyle name="Normal 12 4 10" xfId="524" xr:uid="{00000000-0005-0000-0000-00000E020000}"/>
    <cellStyle name="Normal 12 4 2" xfId="525" xr:uid="{00000000-0005-0000-0000-00000F020000}"/>
    <cellStyle name="Normal 12 4 3" xfId="526" xr:uid="{00000000-0005-0000-0000-000010020000}"/>
    <cellStyle name="Normal 12 4 4" xfId="527" xr:uid="{00000000-0005-0000-0000-000011020000}"/>
    <cellStyle name="Normal 12 4 5" xfId="528" xr:uid="{00000000-0005-0000-0000-000012020000}"/>
    <cellStyle name="Normal 12 4 6" xfId="529" xr:uid="{00000000-0005-0000-0000-000013020000}"/>
    <cellStyle name="Normal 12 4 7" xfId="530" xr:uid="{00000000-0005-0000-0000-000014020000}"/>
    <cellStyle name="Normal 12 4 8" xfId="531" xr:uid="{00000000-0005-0000-0000-000015020000}"/>
    <cellStyle name="Normal 12 4 9" xfId="532" xr:uid="{00000000-0005-0000-0000-000016020000}"/>
    <cellStyle name="Normal 12 5" xfId="533" xr:uid="{00000000-0005-0000-0000-000017020000}"/>
    <cellStyle name="Normal 12 5 10" xfId="534" xr:uid="{00000000-0005-0000-0000-000018020000}"/>
    <cellStyle name="Normal 12 5 2" xfId="535" xr:uid="{00000000-0005-0000-0000-000019020000}"/>
    <cellStyle name="Normal 12 5 3" xfId="536" xr:uid="{00000000-0005-0000-0000-00001A020000}"/>
    <cellStyle name="Normal 12 5 4" xfId="537" xr:uid="{00000000-0005-0000-0000-00001B020000}"/>
    <cellStyle name="Normal 12 5 5" xfId="538" xr:uid="{00000000-0005-0000-0000-00001C020000}"/>
    <cellStyle name="Normal 12 5 6" xfId="539" xr:uid="{00000000-0005-0000-0000-00001D020000}"/>
    <cellStyle name="Normal 12 5 7" xfId="540" xr:uid="{00000000-0005-0000-0000-00001E020000}"/>
    <cellStyle name="Normal 12 5 8" xfId="541" xr:uid="{00000000-0005-0000-0000-00001F020000}"/>
    <cellStyle name="Normal 12 5 9" xfId="542" xr:uid="{00000000-0005-0000-0000-000020020000}"/>
    <cellStyle name="Normal 12 6" xfId="543" xr:uid="{00000000-0005-0000-0000-000021020000}"/>
    <cellStyle name="Normal 12 6 2" xfId="544" xr:uid="{00000000-0005-0000-0000-000022020000}"/>
    <cellStyle name="Normal 12 6 3" xfId="545" xr:uid="{00000000-0005-0000-0000-000023020000}"/>
    <cellStyle name="Normal 12 6 4" xfId="546" xr:uid="{00000000-0005-0000-0000-000024020000}"/>
    <cellStyle name="Normal 12 6 5" xfId="547" xr:uid="{00000000-0005-0000-0000-000025020000}"/>
    <cellStyle name="Normal 12 6 6" xfId="548" xr:uid="{00000000-0005-0000-0000-000026020000}"/>
    <cellStyle name="Normal 12 6 7" xfId="549" xr:uid="{00000000-0005-0000-0000-000027020000}"/>
    <cellStyle name="Normal 12 6 8" xfId="550" xr:uid="{00000000-0005-0000-0000-000028020000}"/>
    <cellStyle name="Normal 12 6 9" xfId="551" xr:uid="{00000000-0005-0000-0000-000029020000}"/>
    <cellStyle name="Normal 12 7" xfId="552" xr:uid="{00000000-0005-0000-0000-00002A020000}"/>
    <cellStyle name="Normal 12 7 2" xfId="553" xr:uid="{00000000-0005-0000-0000-00002B020000}"/>
    <cellStyle name="Normal 12 7 3" xfId="554" xr:uid="{00000000-0005-0000-0000-00002C020000}"/>
    <cellStyle name="Normal 12 7 4" xfId="555" xr:uid="{00000000-0005-0000-0000-00002D020000}"/>
    <cellStyle name="Normal 12 7 5" xfId="556" xr:uid="{00000000-0005-0000-0000-00002E020000}"/>
    <cellStyle name="Normal 12 7 6" xfId="557" xr:uid="{00000000-0005-0000-0000-00002F020000}"/>
    <cellStyle name="Normal 12 7 7" xfId="558" xr:uid="{00000000-0005-0000-0000-000030020000}"/>
    <cellStyle name="Normal 12 7 8" xfId="559" xr:uid="{00000000-0005-0000-0000-000031020000}"/>
    <cellStyle name="Normal 12 7 9" xfId="560" xr:uid="{00000000-0005-0000-0000-000032020000}"/>
    <cellStyle name="Normal 12 8" xfId="561" xr:uid="{00000000-0005-0000-0000-000033020000}"/>
    <cellStyle name="Normal 12 9" xfId="562" xr:uid="{00000000-0005-0000-0000-000034020000}"/>
    <cellStyle name="Normal 13" xfId="563" xr:uid="{00000000-0005-0000-0000-000035020000}"/>
    <cellStyle name="Normal 13 2" xfId="564" xr:uid="{00000000-0005-0000-0000-000036020000}"/>
    <cellStyle name="Normal 13 2 10" xfId="565" xr:uid="{00000000-0005-0000-0000-000037020000}"/>
    <cellStyle name="Normal 13 2 2" xfId="566" xr:uid="{00000000-0005-0000-0000-000038020000}"/>
    <cellStyle name="Normal 13 2 3" xfId="567" xr:uid="{00000000-0005-0000-0000-000039020000}"/>
    <cellStyle name="Normal 13 2 4" xfId="568" xr:uid="{00000000-0005-0000-0000-00003A020000}"/>
    <cellStyle name="Normal 13 2 5" xfId="569" xr:uid="{00000000-0005-0000-0000-00003B020000}"/>
    <cellStyle name="Normal 13 2 6" xfId="570" xr:uid="{00000000-0005-0000-0000-00003C020000}"/>
    <cellStyle name="Normal 13 2 7" xfId="571" xr:uid="{00000000-0005-0000-0000-00003D020000}"/>
    <cellStyle name="Normal 13 2 8" xfId="572" xr:uid="{00000000-0005-0000-0000-00003E020000}"/>
    <cellStyle name="Normal 13 2 9" xfId="573" xr:uid="{00000000-0005-0000-0000-00003F020000}"/>
    <cellStyle name="Normal 13 3" xfId="574" xr:uid="{00000000-0005-0000-0000-000040020000}"/>
    <cellStyle name="Normal 13 3 10" xfId="575" xr:uid="{00000000-0005-0000-0000-000041020000}"/>
    <cellStyle name="Normal 13 3 2" xfId="576" xr:uid="{00000000-0005-0000-0000-000042020000}"/>
    <cellStyle name="Normal 13 3 3" xfId="577" xr:uid="{00000000-0005-0000-0000-000043020000}"/>
    <cellStyle name="Normal 13 3 4" xfId="578" xr:uid="{00000000-0005-0000-0000-000044020000}"/>
    <cellStyle name="Normal 13 3 5" xfId="579" xr:uid="{00000000-0005-0000-0000-000045020000}"/>
    <cellStyle name="Normal 13 3 6" xfId="580" xr:uid="{00000000-0005-0000-0000-000046020000}"/>
    <cellStyle name="Normal 13 3 7" xfId="581" xr:uid="{00000000-0005-0000-0000-000047020000}"/>
    <cellStyle name="Normal 13 3 8" xfId="582" xr:uid="{00000000-0005-0000-0000-000048020000}"/>
    <cellStyle name="Normal 13 3 9" xfId="583" xr:uid="{00000000-0005-0000-0000-000049020000}"/>
    <cellStyle name="Normal 13 4" xfId="584" xr:uid="{00000000-0005-0000-0000-00004A020000}"/>
    <cellStyle name="Normal 13 4 10" xfId="585" xr:uid="{00000000-0005-0000-0000-00004B020000}"/>
    <cellStyle name="Normal 13 4 2" xfId="586" xr:uid="{00000000-0005-0000-0000-00004C020000}"/>
    <cellStyle name="Normal 13 4 3" xfId="587" xr:uid="{00000000-0005-0000-0000-00004D020000}"/>
    <cellStyle name="Normal 13 4 4" xfId="588" xr:uid="{00000000-0005-0000-0000-00004E020000}"/>
    <cellStyle name="Normal 13 4 5" xfId="589" xr:uid="{00000000-0005-0000-0000-00004F020000}"/>
    <cellStyle name="Normal 13 4 6" xfId="590" xr:uid="{00000000-0005-0000-0000-000050020000}"/>
    <cellStyle name="Normal 13 4 7" xfId="591" xr:uid="{00000000-0005-0000-0000-000051020000}"/>
    <cellStyle name="Normal 13 4 8" xfId="592" xr:uid="{00000000-0005-0000-0000-000052020000}"/>
    <cellStyle name="Normal 13 4 9" xfId="593" xr:uid="{00000000-0005-0000-0000-000053020000}"/>
    <cellStyle name="Normal 13 5" xfId="594" xr:uid="{00000000-0005-0000-0000-000054020000}"/>
    <cellStyle name="Normal 13 5 10" xfId="595" xr:uid="{00000000-0005-0000-0000-000055020000}"/>
    <cellStyle name="Normal 13 5 2" xfId="596" xr:uid="{00000000-0005-0000-0000-000056020000}"/>
    <cellStyle name="Normal 13 5 3" xfId="597" xr:uid="{00000000-0005-0000-0000-000057020000}"/>
    <cellStyle name="Normal 13 5 4" xfId="598" xr:uid="{00000000-0005-0000-0000-000058020000}"/>
    <cellStyle name="Normal 13 5 5" xfId="599" xr:uid="{00000000-0005-0000-0000-000059020000}"/>
    <cellStyle name="Normal 13 5 6" xfId="600" xr:uid="{00000000-0005-0000-0000-00005A020000}"/>
    <cellStyle name="Normal 13 5 7" xfId="601" xr:uid="{00000000-0005-0000-0000-00005B020000}"/>
    <cellStyle name="Normal 13 5 8" xfId="602" xr:uid="{00000000-0005-0000-0000-00005C020000}"/>
    <cellStyle name="Normal 13 5 9" xfId="603" xr:uid="{00000000-0005-0000-0000-00005D020000}"/>
    <cellStyle name="Normal 13 6" xfId="604" xr:uid="{00000000-0005-0000-0000-00005E020000}"/>
    <cellStyle name="Normal 13 6 2" xfId="605" xr:uid="{00000000-0005-0000-0000-00005F020000}"/>
    <cellStyle name="Normal 13 6 3" xfId="606" xr:uid="{00000000-0005-0000-0000-000060020000}"/>
    <cellStyle name="Normal 13 6 4" xfId="607" xr:uid="{00000000-0005-0000-0000-000061020000}"/>
    <cellStyle name="Normal 13 6 5" xfId="608" xr:uid="{00000000-0005-0000-0000-000062020000}"/>
    <cellStyle name="Normal 13 6 6" xfId="609" xr:uid="{00000000-0005-0000-0000-000063020000}"/>
    <cellStyle name="Normal 13 6 7" xfId="610" xr:uid="{00000000-0005-0000-0000-000064020000}"/>
    <cellStyle name="Normal 13 6 8" xfId="611" xr:uid="{00000000-0005-0000-0000-000065020000}"/>
    <cellStyle name="Normal 13 6 9" xfId="612" xr:uid="{00000000-0005-0000-0000-000066020000}"/>
    <cellStyle name="Normal 13 7" xfId="613" xr:uid="{00000000-0005-0000-0000-000067020000}"/>
    <cellStyle name="Normal 13 7 2" xfId="614" xr:uid="{00000000-0005-0000-0000-000068020000}"/>
    <cellStyle name="Normal 13 7 3" xfId="615" xr:uid="{00000000-0005-0000-0000-000069020000}"/>
    <cellStyle name="Normal 13 7 4" xfId="616" xr:uid="{00000000-0005-0000-0000-00006A020000}"/>
    <cellStyle name="Normal 13 7 5" xfId="617" xr:uid="{00000000-0005-0000-0000-00006B020000}"/>
    <cellStyle name="Normal 13 7 6" xfId="618" xr:uid="{00000000-0005-0000-0000-00006C020000}"/>
    <cellStyle name="Normal 13 7 7" xfId="619" xr:uid="{00000000-0005-0000-0000-00006D020000}"/>
    <cellStyle name="Normal 13 7 8" xfId="620" xr:uid="{00000000-0005-0000-0000-00006E020000}"/>
    <cellStyle name="Normal 13 7 9" xfId="621" xr:uid="{00000000-0005-0000-0000-00006F020000}"/>
    <cellStyle name="Normal 13 8" xfId="622" xr:uid="{00000000-0005-0000-0000-000070020000}"/>
    <cellStyle name="Normal 13 9" xfId="623" xr:uid="{00000000-0005-0000-0000-000071020000}"/>
    <cellStyle name="Normal 14" xfId="624" xr:uid="{00000000-0005-0000-0000-000072020000}"/>
    <cellStyle name="Normal 14 2" xfId="625" xr:uid="{00000000-0005-0000-0000-000073020000}"/>
    <cellStyle name="Normal 14 2 10" xfId="626" xr:uid="{00000000-0005-0000-0000-000074020000}"/>
    <cellStyle name="Normal 14 2 2" xfId="627" xr:uid="{00000000-0005-0000-0000-000075020000}"/>
    <cellStyle name="Normal 14 2 3" xfId="628" xr:uid="{00000000-0005-0000-0000-000076020000}"/>
    <cellStyle name="Normal 14 2 4" xfId="629" xr:uid="{00000000-0005-0000-0000-000077020000}"/>
    <cellStyle name="Normal 14 2 5" xfId="630" xr:uid="{00000000-0005-0000-0000-000078020000}"/>
    <cellStyle name="Normal 14 2 6" xfId="631" xr:uid="{00000000-0005-0000-0000-000079020000}"/>
    <cellStyle name="Normal 14 2 7" xfId="632" xr:uid="{00000000-0005-0000-0000-00007A020000}"/>
    <cellStyle name="Normal 14 2 8" xfId="633" xr:uid="{00000000-0005-0000-0000-00007B020000}"/>
    <cellStyle name="Normal 14 2 9" xfId="634" xr:uid="{00000000-0005-0000-0000-00007C020000}"/>
    <cellStyle name="Normal 14 3" xfId="635" xr:uid="{00000000-0005-0000-0000-00007D020000}"/>
    <cellStyle name="Normal 14 3 10" xfId="636" xr:uid="{00000000-0005-0000-0000-00007E020000}"/>
    <cellStyle name="Normal 14 3 2" xfId="637" xr:uid="{00000000-0005-0000-0000-00007F020000}"/>
    <cellStyle name="Normal 14 3 3" xfId="638" xr:uid="{00000000-0005-0000-0000-000080020000}"/>
    <cellStyle name="Normal 14 3 4" xfId="639" xr:uid="{00000000-0005-0000-0000-000081020000}"/>
    <cellStyle name="Normal 14 3 5" xfId="640" xr:uid="{00000000-0005-0000-0000-000082020000}"/>
    <cellStyle name="Normal 14 3 6" xfId="641" xr:uid="{00000000-0005-0000-0000-000083020000}"/>
    <cellStyle name="Normal 14 3 7" xfId="642" xr:uid="{00000000-0005-0000-0000-000084020000}"/>
    <cellStyle name="Normal 14 3 8" xfId="643" xr:uid="{00000000-0005-0000-0000-000085020000}"/>
    <cellStyle name="Normal 14 3 9" xfId="644" xr:uid="{00000000-0005-0000-0000-000086020000}"/>
    <cellStyle name="Normal 14 4" xfId="645" xr:uid="{00000000-0005-0000-0000-000087020000}"/>
    <cellStyle name="Normal 14 4 10" xfId="646" xr:uid="{00000000-0005-0000-0000-000088020000}"/>
    <cellStyle name="Normal 14 4 2" xfId="647" xr:uid="{00000000-0005-0000-0000-000089020000}"/>
    <cellStyle name="Normal 14 4 3" xfId="648" xr:uid="{00000000-0005-0000-0000-00008A020000}"/>
    <cellStyle name="Normal 14 4 4" xfId="649" xr:uid="{00000000-0005-0000-0000-00008B020000}"/>
    <cellStyle name="Normal 14 4 5" xfId="650" xr:uid="{00000000-0005-0000-0000-00008C020000}"/>
    <cellStyle name="Normal 14 4 6" xfId="651" xr:uid="{00000000-0005-0000-0000-00008D020000}"/>
    <cellStyle name="Normal 14 4 7" xfId="652" xr:uid="{00000000-0005-0000-0000-00008E020000}"/>
    <cellStyle name="Normal 14 4 8" xfId="653" xr:uid="{00000000-0005-0000-0000-00008F020000}"/>
    <cellStyle name="Normal 14 4 9" xfId="654" xr:uid="{00000000-0005-0000-0000-000090020000}"/>
    <cellStyle name="Normal 14 5" xfId="655" xr:uid="{00000000-0005-0000-0000-000091020000}"/>
    <cellStyle name="Normal 14 5 10" xfId="656" xr:uid="{00000000-0005-0000-0000-000092020000}"/>
    <cellStyle name="Normal 14 5 2" xfId="657" xr:uid="{00000000-0005-0000-0000-000093020000}"/>
    <cellStyle name="Normal 14 5 3" xfId="658" xr:uid="{00000000-0005-0000-0000-000094020000}"/>
    <cellStyle name="Normal 14 5 4" xfId="659" xr:uid="{00000000-0005-0000-0000-000095020000}"/>
    <cellStyle name="Normal 14 5 5" xfId="660" xr:uid="{00000000-0005-0000-0000-000096020000}"/>
    <cellStyle name="Normal 14 5 6" xfId="661" xr:uid="{00000000-0005-0000-0000-000097020000}"/>
    <cellStyle name="Normal 14 5 7" xfId="662" xr:uid="{00000000-0005-0000-0000-000098020000}"/>
    <cellStyle name="Normal 14 5 8" xfId="663" xr:uid="{00000000-0005-0000-0000-000099020000}"/>
    <cellStyle name="Normal 14 5 9" xfId="664" xr:uid="{00000000-0005-0000-0000-00009A020000}"/>
    <cellStyle name="Normal 14 6" xfId="665" xr:uid="{00000000-0005-0000-0000-00009B020000}"/>
    <cellStyle name="Normal 14 6 2" xfId="666" xr:uid="{00000000-0005-0000-0000-00009C020000}"/>
    <cellStyle name="Normal 14 6 3" xfId="667" xr:uid="{00000000-0005-0000-0000-00009D020000}"/>
    <cellStyle name="Normal 14 6 4" xfId="668" xr:uid="{00000000-0005-0000-0000-00009E020000}"/>
    <cellStyle name="Normal 14 6 5" xfId="669" xr:uid="{00000000-0005-0000-0000-00009F020000}"/>
    <cellStyle name="Normal 14 6 6" xfId="670" xr:uid="{00000000-0005-0000-0000-0000A0020000}"/>
    <cellStyle name="Normal 14 6 7" xfId="671" xr:uid="{00000000-0005-0000-0000-0000A1020000}"/>
    <cellStyle name="Normal 14 6 8" xfId="672" xr:uid="{00000000-0005-0000-0000-0000A2020000}"/>
    <cellStyle name="Normal 14 6 9" xfId="673" xr:uid="{00000000-0005-0000-0000-0000A3020000}"/>
    <cellStyle name="Normal 14 7" xfId="674" xr:uid="{00000000-0005-0000-0000-0000A4020000}"/>
    <cellStyle name="Normal 14 7 2" xfId="675" xr:uid="{00000000-0005-0000-0000-0000A5020000}"/>
    <cellStyle name="Normal 14 7 3" xfId="676" xr:uid="{00000000-0005-0000-0000-0000A6020000}"/>
    <cellStyle name="Normal 14 7 4" xfId="677" xr:uid="{00000000-0005-0000-0000-0000A7020000}"/>
    <cellStyle name="Normal 14 7 5" xfId="678" xr:uid="{00000000-0005-0000-0000-0000A8020000}"/>
    <cellStyle name="Normal 14 7 6" xfId="679" xr:uid="{00000000-0005-0000-0000-0000A9020000}"/>
    <cellStyle name="Normal 14 7 7" xfId="680" xr:uid="{00000000-0005-0000-0000-0000AA020000}"/>
    <cellStyle name="Normal 14 7 8" xfId="681" xr:uid="{00000000-0005-0000-0000-0000AB020000}"/>
    <cellStyle name="Normal 14 7 9" xfId="682" xr:uid="{00000000-0005-0000-0000-0000AC020000}"/>
    <cellStyle name="Normal 14 8" xfId="683" xr:uid="{00000000-0005-0000-0000-0000AD020000}"/>
    <cellStyle name="Normal 14 9" xfId="684" xr:uid="{00000000-0005-0000-0000-0000AE020000}"/>
    <cellStyle name="Normal 15" xfId="685" xr:uid="{00000000-0005-0000-0000-0000AF020000}"/>
    <cellStyle name="Normal 15 2" xfId="686" xr:uid="{00000000-0005-0000-0000-0000B0020000}"/>
    <cellStyle name="Normal 15 2 10" xfId="687" xr:uid="{00000000-0005-0000-0000-0000B1020000}"/>
    <cellStyle name="Normal 15 2 2" xfId="688" xr:uid="{00000000-0005-0000-0000-0000B2020000}"/>
    <cellStyle name="Normal 15 2 3" xfId="689" xr:uid="{00000000-0005-0000-0000-0000B3020000}"/>
    <cellStyle name="Normal 15 2 4" xfId="690" xr:uid="{00000000-0005-0000-0000-0000B4020000}"/>
    <cellStyle name="Normal 15 2 5" xfId="691" xr:uid="{00000000-0005-0000-0000-0000B5020000}"/>
    <cellStyle name="Normal 15 2 6" xfId="692" xr:uid="{00000000-0005-0000-0000-0000B6020000}"/>
    <cellStyle name="Normal 15 2 7" xfId="693" xr:uid="{00000000-0005-0000-0000-0000B7020000}"/>
    <cellStyle name="Normal 15 2 8" xfId="694" xr:uid="{00000000-0005-0000-0000-0000B8020000}"/>
    <cellStyle name="Normal 15 2 9" xfId="695" xr:uid="{00000000-0005-0000-0000-0000B9020000}"/>
    <cellStyle name="Normal 15 3" xfId="696" xr:uid="{00000000-0005-0000-0000-0000BA020000}"/>
    <cellStyle name="Normal 15 3 10" xfId="697" xr:uid="{00000000-0005-0000-0000-0000BB020000}"/>
    <cellStyle name="Normal 15 3 2" xfId="698" xr:uid="{00000000-0005-0000-0000-0000BC020000}"/>
    <cellStyle name="Normal 15 3 3" xfId="699" xr:uid="{00000000-0005-0000-0000-0000BD020000}"/>
    <cellStyle name="Normal 15 3 4" xfId="700" xr:uid="{00000000-0005-0000-0000-0000BE020000}"/>
    <cellStyle name="Normal 15 3 5" xfId="701" xr:uid="{00000000-0005-0000-0000-0000BF020000}"/>
    <cellStyle name="Normal 15 3 6" xfId="702" xr:uid="{00000000-0005-0000-0000-0000C0020000}"/>
    <cellStyle name="Normal 15 3 7" xfId="703" xr:uid="{00000000-0005-0000-0000-0000C1020000}"/>
    <cellStyle name="Normal 15 3 8" xfId="704" xr:uid="{00000000-0005-0000-0000-0000C2020000}"/>
    <cellStyle name="Normal 15 3 9" xfId="705" xr:uid="{00000000-0005-0000-0000-0000C3020000}"/>
    <cellStyle name="Normal 15 4" xfId="706" xr:uid="{00000000-0005-0000-0000-0000C4020000}"/>
    <cellStyle name="Normal 15 4 10" xfId="707" xr:uid="{00000000-0005-0000-0000-0000C5020000}"/>
    <cellStyle name="Normal 15 4 2" xfId="708" xr:uid="{00000000-0005-0000-0000-0000C6020000}"/>
    <cellStyle name="Normal 15 4 3" xfId="709" xr:uid="{00000000-0005-0000-0000-0000C7020000}"/>
    <cellStyle name="Normal 15 4 4" xfId="710" xr:uid="{00000000-0005-0000-0000-0000C8020000}"/>
    <cellStyle name="Normal 15 4 5" xfId="711" xr:uid="{00000000-0005-0000-0000-0000C9020000}"/>
    <cellStyle name="Normal 15 4 6" xfId="712" xr:uid="{00000000-0005-0000-0000-0000CA020000}"/>
    <cellStyle name="Normal 15 4 7" xfId="713" xr:uid="{00000000-0005-0000-0000-0000CB020000}"/>
    <cellStyle name="Normal 15 4 8" xfId="714" xr:uid="{00000000-0005-0000-0000-0000CC020000}"/>
    <cellStyle name="Normal 15 4 9" xfId="715" xr:uid="{00000000-0005-0000-0000-0000CD020000}"/>
    <cellStyle name="Normal 15 5" xfId="716" xr:uid="{00000000-0005-0000-0000-0000CE020000}"/>
    <cellStyle name="Normal 15 5 10" xfId="717" xr:uid="{00000000-0005-0000-0000-0000CF020000}"/>
    <cellStyle name="Normal 15 5 2" xfId="718" xr:uid="{00000000-0005-0000-0000-0000D0020000}"/>
    <cellStyle name="Normal 15 5 3" xfId="719" xr:uid="{00000000-0005-0000-0000-0000D1020000}"/>
    <cellStyle name="Normal 15 5 4" xfId="720" xr:uid="{00000000-0005-0000-0000-0000D2020000}"/>
    <cellStyle name="Normal 15 5 5" xfId="721" xr:uid="{00000000-0005-0000-0000-0000D3020000}"/>
    <cellStyle name="Normal 15 5 6" xfId="722" xr:uid="{00000000-0005-0000-0000-0000D4020000}"/>
    <cellStyle name="Normal 15 5 7" xfId="723" xr:uid="{00000000-0005-0000-0000-0000D5020000}"/>
    <cellStyle name="Normal 15 5 8" xfId="724" xr:uid="{00000000-0005-0000-0000-0000D6020000}"/>
    <cellStyle name="Normal 15 5 9" xfId="725" xr:uid="{00000000-0005-0000-0000-0000D7020000}"/>
    <cellStyle name="Normal 15 6" xfId="726" xr:uid="{00000000-0005-0000-0000-0000D8020000}"/>
    <cellStyle name="Normal 15 6 2" xfId="727" xr:uid="{00000000-0005-0000-0000-0000D9020000}"/>
    <cellStyle name="Normal 15 6 3" xfId="728" xr:uid="{00000000-0005-0000-0000-0000DA020000}"/>
    <cellStyle name="Normal 15 6 4" xfId="729" xr:uid="{00000000-0005-0000-0000-0000DB020000}"/>
    <cellStyle name="Normal 15 6 5" xfId="730" xr:uid="{00000000-0005-0000-0000-0000DC020000}"/>
    <cellStyle name="Normal 15 6 6" xfId="731" xr:uid="{00000000-0005-0000-0000-0000DD020000}"/>
    <cellStyle name="Normal 15 6 7" xfId="732" xr:uid="{00000000-0005-0000-0000-0000DE020000}"/>
    <cellStyle name="Normal 15 6 8" xfId="733" xr:uid="{00000000-0005-0000-0000-0000DF020000}"/>
    <cellStyle name="Normal 15 6 9" xfId="734" xr:uid="{00000000-0005-0000-0000-0000E0020000}"/>
    <cellStyle name="Normal 15 7" xfId="735" xr:uid="{00000000-0005-0000-0000-0000E1020000}"/>
    <cellStyle name="Normal 15 7 2" xfId="736" xr:uid="{00000000-0005-0000-0000-0000E2020000}"/>
    <cellStyle name="Normal 15 7 3" xfId="737" xr:uid="{00000000-0005-0000-0000-0000E3020000}"/>
    <cellStyle name="Normal 15 7 4" xfId="738" xr:uid="{00000000-0005-0000-0000-0000E4020000}"/>
    <cellStyle name="Normal 15 7 5" xfId="739" xr:uid="{00000000-0005-0000-0000-0000E5020000}"/>
    <cellStyle name="Normal 15 7 6" xfId="740" xr:uid="{00000000-0005-0000-0000-0000E6020000}"/>
    <cellStyle name="Normal 15 7 7" xfId="741" xr:uid="{00000000-0005-0000-0000-0000E7020000}"/>
    <cellStyle name="Normal 15 7 8" xfId="742" xr:uid="{00000000-0005-0000-0000-0000E8020000}"/>
    <cellStyle name="Normal 15 7 9" xfId="743" xr:uid="{00000000-0005-0000-0000-0000E9020000}"/>
    <cellStyle name="Normal 15 8" xfId="744" xr:uid="{00000000-0005-0000-0000-0000EA020000}"/>
    <cellStyle name="Normal 15 9" xfId="745" xr:uid="{00000000-0005-0000-0000-0000EB020000}"/>
    <cellStyle name="Normal 16" xfId="746" xr:uid="{00000000-0005-0000-0000-0000EC020000}"/>
    <cellStyle name="Normal 16 2" xfId="747" xr:uid="{00000000-0005-0000-0000-0000ED020000}"/>
    <cellStyle name="Normal 16 2 10" xfId="748" xr:uid="{00000000-0005-0000-0000-0000EE020000}"/>
    <cellStyle name="Normal 16 2 2" xfId="749" xr:uid="{00000000-0005-0000-0000-0000EF020000}"/>
    <cellStyle name="Normal 16 2 3" xfId="750" xr:uid="{00000000-0005-0000-0000-0000F0020000}"/>
    <cellStyle name="Normal 16 2 4" xfId="751" xr:uid="{00000000-0005-0000-0000-0000F1020000}"/>
    <cellStyle name="Normal 16 2 5" xfId="752" xr:uid="{00000000-0005-0000-0000-0000F2020000}"/>
    <cellStyle name="Normal 16 2 6" xfId="753" xr:uid="{00000000-0005-0000-0000-0000F3020000}"/>
    <cellStyle name="Normal 16 2 7" xfId="754" xr:uid="{00000000-0005-0000-0000-0000F4020000}"/>
    <cellStyle name="Normal 16 2 8" xfId="755" xr:uid="{00000000-0005-0000-0000-0000F5020000}"/>
    <cellStyle name="Normal 16 2 9" xfId="756" xr:uid="{00000000-0005-0000-0000-0000F6020000}"/>
    <cellStyle name="Normal 16 3" xfId="757" xr:uid="{00000000-0005-0000-0000-0000F7020000}"/>
    <cellStyle name="Normal 16 3 10" xfId="758" xr:uid="{00000000-0005-0000-0000-0000F8020000}"/>
    <cellStyle name="Normal 16 3 2" xfId="759" xr:uid="{00000000-0005-0000-0000-0000F9020000}"/>
    <cellStyle name="Normal 16 3 3" xfId="760" xr:uid="{00000000-0005-0000-0000-0000FA020000}"/>
    <cellStyle name="Normal 16 3 4" xfId="761" xr:uid="{00000000-0005-0000-0000-0000FB020000}"/>
    <cellStyle name="Normal 16 3 5" xfId="762" xr:uid="{00000000-0005-0000-0000-0000FC020000}"/>
    <cellStyle name="Normal 16 3 6" xfId="763" xr:uid="{00000000-0005-0000-0000-0000FD020000}"/>
    <cellStyle name="Normal 16 3 7" xfId="764" xr:uid="{00000000-0005-0000-0000-0000FE020000}"/>
    <cellStyle name="Normal 16 3 8" xfId="765" xr:uid="{00000000-0005-0000-0000-0000FF020000}"/>
    <cellStyle name="Normal 16 3 9" xfId="766" xr:uid="{00000000-0005-0000-0000-000000030000}"/>
    <cellStyle name="Normal 16 4" xfId="767" xr:uid="{00000000-0005-0000-0000-000001030000}"/>
    <cellStyle name="Normal 16 4 10" xfId="768" xr:uid="{00000000-0005-0000-0000-000002030000}"/>
    <cellStyle name="Normal 16 4 2" xfId="769" xr:uid="{00000000-0005-0000-0000-000003030000}"/>
    <cellStyle name="Normal 16 4 3" xfId="770" xr:uid="{00000000-0005-0000-0000-000004030000}"/>
    <cellStyle name="Normal 16 4 4" xfId="771" xr:uid="{00000000-0005-0000-0000-000005030000}"/>
    <cellStyle name="Normal 16 4 5" xfId="772" xr:uid="{00000000-0005-0000-0000-000006030000}"/>
    <cellStyle name="Normal 16 4 6" xfId="773" xr:uid="{00000000-0005-0000-0000-000007030000}"/>
    <cellStyle name="Normal 16 4 7" xfId="774" xr:uid="{00000000-0005-0000-0000-000008030000}"/>
    <cellStyle name="Normal 16 4 8" xfId="775" xr:uid="{00000000-0005-0000-0000-000009030000}"/>
    <cellStyle name="Normal 16 4 9" xfId="776" xr:uid="{00000000-0005-0000-0000-00000A030000}"/>
    <cellStyle name="Normal 16 5" xfId="777" xr:uid="{00000000-0005-0000-0000-00000B030000}"/>
    <cellStyle name="Normal 16 5 10" xfId="778" xr:uid="{00000000-0005-0000-0000-00000C030000}"/>
    <cellStyle name="Normal 16 5 2" xfId="779" xr:uid="{00000000-0005-0000-0000-00000D030000}"/>
    <cellStyle name="Normal 16 5 3" xfId="780" xr:uid="{00000000-0005-0000-0000-00000E030000}"/>
    <cellStyle name="Normal 16 5 4" xfId="781" xr:uid="{00000000-0005-0000-0000-00000F030000}"/>
    <cellStyle name="Normal 16 5 5" xfId="782" xr:uid="{00000000-0005-0000-0000-000010030000}"/>
    <cellStyle name="Normal 16 5 6" xfId="783" xr:uid="{00000000-0005-0000-0000-000011030000}"/>
    <cellStyle name="Normal 16 5 7" xfId="784" xr:uid="{00000000-0005-0000-0000-000012030000}"/>
    <cellStyle name="Normal 16 5 8" xfId="785" xr:uid="{00000000-0005-0000-0000-000013030000}"/>
    <cellStyle name="Normal 16 5 9" xfId="786" xr:uid="{00000000-0005-0000-0000-000014030000}"/>
    <cellStyle name="Normal 16 6" xfId="787" xr:uid="{00000000-0005-0000-0000-000015030000}"/>
    <cellStyle name="Normal 16 6 2" xfId="788" xr:uid="{00000000-0005-0000-0000-000016030000}"/>
    <cellStyle name="Normal 16 6 3" xfId="789" xr:uid="{00000000-0005-0000-0000-000017030000}"/>
    <cellStyle name="Normal 16 6 4" xfId="790" xr:uid="{00000000-0005-0000-0000-000018030000}"/>
    <cellStyle name="Normal 16 6 5" xfId="791" xr:uid="{00000000-0005-0000-0000-000019030000}"/>
    <cellStyle name="Normal 16 6 6" xfId="792" xr:uid="{00000000-0005-0000-0000-00001A030000}"/>
    <cellStyle name="Normal 16 6 7" xfId="793" xr:uid="{00000000-0005-0000-0000-00001B030000}"/>
    <cellStyle name="Normal 16 6 8" xfId="794" xr:uid="{00000000-0005-0000-0000-00001C030000}"/>
    <cellStyle name="Normal 16 6 9" xfId="795" xr:uid="{00000000-0005-0000-0000-00001D030000}"/>
    <cellStyle name="Normal 16 7" xfId="796" xr:uid="{00000000-0005-0000-0000-00001E030000}"/>
    <cellStyle name="Normal 16 7 2" xfId="797" xr:uid="{00000000-0005-0000-0000-00001F030000}"/>
    <cellStyle name="Normal 16 7 3" xfId="798" xr:uid="{00000000-0005-0000-0000-000020030000}"/>
    <cellStyle name="Normal 16 7 4" xfId="799" xr:uid="{00000000-0005-0000-0000-000021030000}"/>
    <cellStyle name="Normal 16 7 5" xfId="800" xr:uid="{00000000-0005-0000-0000-000022030000}"/>
    <cellStyle name="Normal 16 7 6" xfId="801" xr:uid="{00000000-0005-0000-0000-000023030000}"/>
    <cellStyle name="Normal 16 7 7" xfId="802" xr:uid="{00000000-0005-0000-0000-000024030000}"/>
    <cellStyle name="Normal 16 7 8" xfId="803" xr:uid="{00000000-0005-0000-0000-000025030000}"/>
    <cellStyle name="Normal 16 7 9" xfId="804" xr:uid="{00000000-0005-0000-0000-000026030000}"/>
    <cellStyle name="Normal 16 8" xfId="805" xr:uid="{00000000-0005-0000-0000-000027030000}"/>
    <cellStyle name="Normal 16 9" xfId="806" xr:uid="{00000000-0005-0000-0000-000028030000}"/>
    <cellStyle name="Normal 17" xfId="807" xr:uid="{00000000-0005-0000-0000-000029030000}"/>
    <cellStyle name="Normal 17 2" xfId="808" xr:uid="{00000000-0005-0000-0000-00002A030000}"/>
    <cellStyle name="Normal 17 3" xfId="809" xr:uid="{00000000-0005-0000-0000-00002B030000}"/>
    <cellStyle name="Normal 17 4" xfId="810" xr:uid="{00000000-0005-0000-0000-00002C030000}"/>
    <cellStyle name="Normal 17 5" xfId="811" xr:uid="{00000000-0005-0000-0000-00002D030000}"/>
    <cellStyle name="Normal 17 6" xfId="812" xr:uid="{00000000-0005-0000-0000-00002E030000}"/>
    <cellStyle name="Normal 17 7" xfId="813" xr:uid="{00000000-0005-0000-0000-00002F030000}"/>
    <cellStyle name="Normal 17 8" xfId="814" xr:uid="{00000000-0005-0000-0000-000030030000}"/>
    <cellStyle name="Normal 17 9" xfId="815" xr:uid="{00000000-0005-0000-0000-000031030000}"/>
    <cellStyle name="Normal 18" xfId="816" xr:uid="{00000000-0005-0000-0000-000032030000}"/>
    <cellStyle name="Normal 18 2" xfId="817" xr:uid="{00000000-0005-0000-0000-000033030000}"/>
    <cellStyle name="Normal 18 3" xfId="818" xr:uid="{00000000-0005-0000-0000-000034030000}"/>
    <cellStyle name="Normal 18 4" xfId="819" xr:uid="{00000000-0005-0000-0000-000035030000}"/>
    <cellStyle name="Normal 18 4 10" xfId="820" xr:uid="{00000000-0005-0000-0000-000036030000}"/>
    <cellStyle name="Normal 18 4 10 2" xfId="821" xr:uid="{00000000-0005-0000-0000-000037030000}"/>
    <cellStyle name="Normal 18 4 10 3" xfId="822" xr:uid="{00000000-0005-0000-0000-000038030000}"/>
    <cellStyle name="Normal 18 4 10 4" xfId="823" xr:uid="{00000000-0005-0000-0000-000039030000}"/>
    <cellStyle name="Normal 18 4 10 5" xfId="824" xr:uid="{00000000-0005-0000-0000-00003A030000}"/>
    <cellStyle name="Normal 18 4 10 6" xfId="825" xr:uid="{00000000-0005-0000-0000-00003B030000}"/>
    <cellStyle name="Normal 18 4 10 7" xfId="826" xr:uid="{00000000-0005-0000-0000-00003C030000}"/>
    <cellStyle name="Normal 18 4 10 8" xfId="827" xr:uid="{00000000-0005-0000-0000-00003D030000}"/>
    <cellStyle name="Normal 18 4 2" xfId="828" xr:uid="{00000000-0005-0000-0000-00003E030000}"/>
    <cellStyle name="Normal 18 4 2 10" xfId="829" xr:uid="{00000000-0005-0000-0000-00003F030000}"/>
    <cellStyle name="Normal 18 4 2 11" xfId="830" xr:uid="{00000000-0005-0000-0000-000040030000}"/>
    <cellStyle name="Normal 18 4 2 12" xfId="831" xr:uid="{00000000-0005-0000-0000-000041030000}"/>
    <cellStyle name="Normal 18 4 2 13" xfId="832" xr:uid="{00000000-0005-0000-0000-000042030000}"/>
    <cellStyle name="Normal 18 4 2 14" xfId="833" xr:uid="{00000000-0005-0000-0000-000043030000}"/>
    <cellStyle name="Normal 18 4 2 15" xfId="834" xr:uid="{00000000-0005-0000-0000-000044030000}"/>
    <cellStyle name="Normal 18 4 2 16" xfId="835" xr:uid="{00000000-0005-0000-0000-000045030000}"/>
    <cellStyle name="Normal 18 4 2 2" xfId="836" xr:uid="{00000000-0005-0000-0000-000046030000}"/>
    <cellStyle name="Normal 18 4 2 3" xfId="837" xr:uid="{00000000-0005-0000-0000-000047030000}"/>
    <cellStyle name="Normal 18 4 2 4" xfId="838" xr:uid="{00000000-0005-0000-0000-000048030000}"/>
    <cellStyle name="Normal 18 4 2 5" xfId="839" xr:uid="{00000000-0005-0000-0000-000049030000}"/>
    <cellStyle name="Normal 18 4 2 6" xfId="840" xr:uid="{00000000-0005-0000-0000-00004A030000}"/>
    <cellStyle name="Normal 18 4 2 7" xfId="841" xr:uid="{00000000-0005-0000-0000-00004B030000}"/>
    <cellStyle name="Normal 18 4 2 8" xfId="842" xr:uid="{00000000-0005-0000-0000-00004C030000}"/>
    <cellStyle name="Normal 18 4 2 9" xfId="843" xr:uid="{00000000-0005-0000-0000-00004D030000}"/>
    <cellStyle name="Normal 18 4 3" xfId="844" xr:uid="{00000000-0005-0000-0000-00004E030000}"/>
    <cellStyle name="Normal 18 4 4" xfId="845" xr:uid="{00000000-0005-0000-0000-00004F030000}"/>
    <cellStyle name="Normal 18 4 4 2" xfId="846" xr:uid="{00000000-0005-0000-0000-000050030000}"/>
    <cellStyle name="Normal 18 4 4 3" xfId="847" xr:uid="{00000000-0005-0000-0000-000051030000}"/>
    <cellStyle name="Normal 18 4 4 4" xfId="848" xr:uid="{00000000-0005-0000-0000-000052030000}"/>
    <cellStyle name="Normal 18 4 4 5" xfId="849" xr:uid="{00000000-0005-0000-0000-000053030000}"/>
    <cellStyle name="Normal 18 4 4 6" xfId="850" xr:uid="{00000000-0005-0000-0000-000054030000}"/>
    <cellStyle name="Normal 18 4 4 7" xfId="851" xr:uid="{00000000-0005-0000-0000-000055030000}"/>
    <cellStyle name="Normal 18 4 4 8" xfId="852" xr:uid="{00000000-0005-0000-0000-000056030000}"/>
    <cellStyle name="Normal 18 4 5" xfId="853" xr:uid="{00000000-0005-0000-0000-000057030000}"/>
    <cellStyle name="Normal 18 4 5 2" xfId="854" xr:uid="{00000000-0005-0000-0000-000058030000}"/>
    <cellStyle name="Normal 18 4 5 3" xfId="855" xr:uid="{00000000-0005-0000-0000-000059030000}"/>
    <cellStyle name="Normal 18 4 5 4" xfId="856" xr:uid="{00000000-0005-0000-0000-00005A030000}"/>
    <cellStyle name="Normal 18 4 5 5" xfId="857" xr:uid="{00000000-0005-0000-0000-00005B030000}"/>
    <cellStyle name="Normal 18 4 5 6" xfId="858" xr:uid="{00000000-0005-0000-0000-00005C030000}"/>
    <cellStyle name="Normal 18 4 5 7" xfId="859" xr:uid="{00000000-0005-0000-0000-00005D030000}"/>
    <cellStyle name="Normal 18 4 5 8" xfId="860" xr:uid="{00000000-0005-0000-0000-00005E030000}"/>
    <cellStyle name="Normal 18 4 6" xfId="861" xr:uid="{00000000-0005-0000-0000-00005F030000}"/>
    <cellStyle name="Normal 18 4 6 2" xfId="862" xr:uid="{00000000-0005-0000-0000-000060030000}"/>
    <cellStyle name="Normal 18 4 6 3" xfId="863" xr:uid="{00000000-0005-0000-0000-000061030000}"/>
    <cellStyle name="Normal 18 4 6 4" xfId="864" xr:uid="{00000000-0005-0000-0000-000062030000}"/>
    <cellStyle name="Normal 18 4 6 5" xfId="865" xr:uid="{00000000-0005-0000-0000-000063030000}"/>
    <cellStyle name="Normal 18 4 6 6" xfId="866" xr:uid="{00000000-0005-0000-0000-000064030000}"/>
    <cellStyle name="Normal 18 4 6 7" xfId="867" xr:uid="{00000000-0005-0000-0000-000065030000}"/>
    <cellStyle name="Normal 18 4 6 8" xfId="868" xr:uid="{00000000-0005-0000-0000-000066030000}"/>
    <cellStyle name="Normal 18 4 7" xfId="869" xr:uid="{00000000-0005-0000-0000-000067030000}"/>
    <cellStyle name="Normal 18 4 7 2" xfId="870" xr:uid="{00000000-0005-0000-0000-000068030000}"/>
    <cellStyle name="Normal 18 4 7 3" xfId="871" xr:uid="{00000000-0005-0000-0000-000069030000}"/>
    <cellStyle name="Normal 18 4 7 4" xfId="872" xr:uid="{00000000-0005-0000-0000-00006A030000}"/>
    <cellStyle name="Normal 18 4 7 5" xfId="873" xr:uid="{00000000-0005-0000-0000-00006B030000}"/>
    <cellStyle name="Normal 18 4 7 6" xfId="874" xr:uid="{00000000-0005-0000-0000-00006C030000}"/>
    <cellStyle name="Normal 18 4 7 7" xfId="875" xr:uid="{00000000-0005-0000-0000-00006D030000}"/>
    <cellStyle name="Normal 18 4 7 8" xfId="876" xr:uid="{00000000-0005-0000-0000-00006E030000}"/>
    <cellStyle name="Normal 18 4 8" xfId="877" xr:uid="{00000000-0005-0000-0000-00006F030000}"/>
    <cellStyle name="Normal 18 4 8 2" xfId="878" xr:uid="{00000000-0005-0000-0000-000070030000}"/>
    <cellStyle name="Normal 18 4 8 3" xfId="879" xr:uid="{00000000-0005-0000-0000-000071030000}"/>
    <cellStyle name="Normal 18 4 8 4" xfId="880" xr:uid="{00000000-0005-0000-0000-000072030000}"/>
    <cellStyle name="Normal 18 4 8 5" xfId="881" xr:uid="{00000000-0005-0000-0000-000073030000}"/>
    <cellStyle name="Normal 18 4 8 6" xfId="882" xr:uid="{00000000-0005-0000-0000-000074030000}"/>
    <cellStyle name="Normal 18 4 8 7" xfId="883" xr:uid="{00000000-0005-0000-0000-000075030000}"/>
    <cellStyle name="Normal 18 4 8 8" xfId="884" xr:uid="{00000000-0005-0000-0000-000076030000}"/>
    <cellStyle name="Normal 18 4 9" xfId="885" xr:uid="{00000000-0005-0000-0000-000077030000}"/>
    <cellStyle name="Normal 18 4 9 2" xfId="886" xr:uid="{00000000-0005-0000-0000-000078030000}"/>
    <cellStyle name="Normal 18 4 9 3" xfId="887" xr:uid="{00000000-0005-0000-0000-000079030000}"/>
    <cellStyle name="Normal 18 4 9 4" xfId="888" xr:uid="{00000000-0005-0000-0000-00007A030000}"/>
    <cellStyle name="Normal 18 4 9 5" xfId="889" xr:uid="{00000000-0005-0000-0000-00007B030000}"/>
    <cellStyle name="Normal 18 4 9 6" xfId="890" xr:uid="{00000000-0005-0000-0000-00007C030000}"/>
    <cellStyle name="Normal 18 4 9 7" xfId="891" xr:uid="{00000000-0005-0000-0000-00007D030000}"/>
    <cellStyle name="Normal 18 4 9 8" xfId="892" xr:uid="{00000000-0005-0000-0000-00007E030000}"/>
    <cellStyle name="Normal 18 5" xfId="893" xr:uid="{00000000-0005-0000-0000-00007F030000}"/>
    <cellStyle name="Normal 18 5 10" xfId="894" xr:uid="{00000000-0005-0000-0000-000080030000}"/>
    <cellStyle name="Normal 18 5 10 2" xfId="895" xr:uid="{00000000-0005-0000-0000-000081030000}"/>
    <cellStyle name="Normal 18 5 10 3" xfId="896" xr:uid="{00000000-0005-0000-0000-000082030000}"/>
    <cellStyle name="Normal 18 5 10 4" xfId="897" xr:uid="{00000000-0005-0000-0000-000083030000}"/>
    <cellStyle name="Normal 18 5 10 5" xfId="898" xr:uid="{00000000-0005-0000-0000-000084030000}"/>
    <cellStyle name="Normal 18 5 10 6" xfId="899" xr:uid="{00000000-0005-0000-0000-000085030000}"/>
    <cellStyle name="Normal 18 5 10 7" xfId="900" xr:uid="{00000000-0005-0000-0000-000086030000}"/>
    <cellStyle name="Normal 18 5 10 8" xfId="901" xr:uid="{00000000-0005-0000-0000-000087030000}"/>
    <cellStyle name="Normal 18 5 2" xfId="902" xr:uid="{00000000-0005-0000-0000-000088030000}"/>
    <cellStyle name="Normal 18 5 2 10" xfId="903" xr:uid="{00000000-0005-0000-0000-000089030000}"/>
    <cellStyle name="Normal 18 5 2 11" xfId="904" xr:uid="{00000000-0005-0000-0000-00008A030000}"/>
    <cellStyle name="Normal 18 5 2 12" xfId="905" xr:uid="{00000000-0005-0000-0000-00008B030000}"/>
    <cellStyle name="Normal 18 5 2 13" xfId="906" xr:uid="{00000000-0005-0000-0000-00008C030000}"/>
    <cellStyle name="Normal 18 5 2 14" xfId="907" xr:uid="{00000000-0005-0000-0000-00008D030000}"/>
    <cellStyle name="Normal 18 5 2 15" xfId="908" xr:uid="{00000000-0005-0000-0000-00008E030000}"/>
    <cellStyle name="Normal 18 5 2 16" xfId="909" xr:uid="{00000000-0005-0000-0000-00008F030000}"/>
    <cellStyle name="Normal 18 5 2 2" xfId="910" xr:uid="{00000000-0005-0000-0000-000090030000}"/>
    <cellStyle name="Normal 18 5 2 3" xfId="911" xr:uid="{00000000-0005-0000-0000-000091030000}"/>
    <cellStyle name="Normal 18 5 2 4" xfId="912" xr:uid="{00000000-0005-0000-0000-000092030000}"/>
    <cellStyle name="Normal 18 5 2 5" xfId="913" xr:uid="{00000000-0005-0000-0000-000093030000}"/>
    <cellStyle name="Normal 18 5 2 6" xfId="914" xr:uid="{00000000-0005-0000-0000-000094030000}"/>
    <cellStyle name="Normal 18 5 2 7" xfId="915" xr:uid="{00000000-0005-0000-0000-000095030000}"/>
    <cellStyle name="Normal 18 5 2 8" xfId="916" xr:uid="{00000000-0005-0000-0000-000096030000}"/>
    <cellStyle name="Normal 18 5 2 9" xfId="917" xr:uid="{00000000-0005-0000-0000-000097030000}"/>
    <cellStyle name="Normal 18 5 3" xfId="918" xr:uid="{00000000-0005-0000-0000-000098030000}"/>
    <cellStyle name="Normal 18 5 4" xfId="919" xr:uid="{00000000-0005-0000-0000-000099030000}"/>
    <cellStyle name="Normal 18 5 4 2" xfId="920" xr:uid="{00000000-0005-0000-0000-00009A030000}"/>
    <cellStyle name="Normal 18 5 4 3" xfId="921" xr:uid="{00000000-0005-0000-0000-00009B030000}"/>
    <cellStyle name="Normal 18 5 4 4" xfId="922" xr:uid="{00000000-0005-0000-0000-00009C030000}"/>
    <cellStyle name="Normal 18 5 4 5" xfId="923" xr:uid="{00000000-0005-0000-0000-00009D030000}"/>
    <cellStyle name="Normal 18 5 4 6" xfId="924" xr:uid="{00000000-0005-0000-0000-00009E030000}"/>
    <cellStyle name="Normal 18 5 4 7" xfId="925" xr:uid="{00000000-0005-0000-0000-00009F030000}"/>
    <cellStyle name="Normal 18 5 4 8" xfId="926" xr:uid="{00000000-0005-0000-0000-0000A0030000}"/>
    <cellStyle name="Normal 18 5 5" xfId="927" xr:uid="{00000000-0005-0000-0000-0000A1030000}"/>
    <cellStyle name="Normal 18 5 5 2" xfId="928" xr:uid="{00000000-0005-0000-0000-0000A2030000}"/>
    <cellStyle name="Normal 18 5 5 3" xfId="929" xr:uid="{00000000-0005-0000-0000-0000A3030000}"/>
    <cellStyle name="Normal 18 5 5 4" xfId="930" xr:uid="{00000000-0005-0000-0000-0000A4030000}"/>
    <cellStyle name="Normal 18 5 5 5" xfId="931" xr:uid="{00000000-0005-0000-0000-0000A5030000}"/>
    <cellStyle name="Normal 18 5 5 6" xfId="932" xr:uid="{00000000-0005-0000-0000-0000A6030000}"/>
    <cellStyle name="Normal 18 5 5 7" xfId="933" xr:uid="{00000000-0005-0000-0000-0000A7030000}"/>
    <cellStyle name="Normal 18 5 5 8" xfId="934" xr:uid="{00000000-0005-0000-0000-0000A8030000}"/>
    <cellStyle name="Normal 18 5 6" xfId="935" xr:uid="{00000000-0005-0000-0000-0000A9030000}"/>
    <cellStyle name="Normal 18 5 6 2" xfId="936" xr:uid="{00000000-0005-0000-0000-0000AA030000}"/>
    <cellStyle name="Normal 18 5 6 3" xfId="937" xr:uid="{00000000-0005-0000-0000-0000AB030000}"/>
    <cellStyle name="Normal 18 5 6 4" xfId="938" xr:uid="{00000000-0005-0000-0000-0000AC030000}"/>
    <cellStyle name="Normal 18 5 6 5" xfId="939" xr:uid="{00000000-0005-0000-0000-0000AD030000}"/>
    <cellStyle name="Normal 18 5 6 6" xfId="940" xr:uid="{00000000-0005-0000-0000-0000AE030000}"/>
    <cellStyle name="Normal 18 5 6 7" xfId="941" xr:uid="{00000000-0005-0000-0000-0000AF030000}"/>
    <cellStyle name="Normal 18 5 6 8" xfId="942" xr:uid="{00000000-0005-0000-0000-0000B0030000}"/>
    <cellStyle name="Normal 18 5 7" xfId="943" xr:uid="{00000000-0005-0000-0000-0000B1030000}"/>
    <cellStyle name="Normal 18 5 7 2" xfId="944" xr:uid="{00000000-0005-0000-0000-0000B2030000}"/>
    <cellStyle name="Normal 18 5 7 3" xfId="945" xr:uid="{00000000-0005-0000-0000-0000B3030000}"/>
    <cellStyle name="Normal 18 5 7 4" xfId="946" xr:uid="{00000000-0005-0000-0000-0000B4030000}"/>
    <cellStyle name="Normal 18 5 7 5" xfId="947" xr:uid="{00000000-0005-0000-0000-0000B5030000}"/>
    <cellStyle name="Normal 18 5 7 6" xfId="948" xr:uid="{00000000-0005-0000-0000-0000B6030000}"/>
    <cellStyle name="Normal 18 5 7 7" xfId="949" xr:uid="{00000000-0005-0000-0000-0000B7030000}"/>
    <cellStyle name="Normal 18 5 7 8" xfId="950" xr:uid="{00000000-0005-0000-0000-0000B8030000}"/>
    <cellStyle name="Normal 18 5 8" xfId="951" xr:uid="{00000000-0005-0000-0000-0000B9030000}"/>
    <cellStyle name="Normal 18 5 8 2" xfId="952" xr:uid="{00000000-0005-0000-0000-0000BA030000}"/>
    <cellStyle name="Normal 18 5 8 3" xfId="953" xr:uid="{00000000-0005-0000-0000-0000BB030000}"/>
    <cellStyle name="Normal 18 5 8 4" xfId="954" xr:uid="{00000000-0005-0000-0000-0000BC030000}"/>
    <cellStyle name="Normal 18 5 8 5" xfId="955" xr:uid="{00000000-0005-0000-0000-0000BD030000}"/>
    <cellStyle name="Normal 18 5 8 6" xfId="956" xr:uid="{00000000-0005-0000-0000-0000BE030000}"/>
    <cellStyle name="Normal 18 5 8 7" xfId="957" xr:uid="{00000000-0005-0000-0000-0000BF030000}"/>
    <cellStyle name="Normal 18 5 8 8" xfId="958" xr:uid="{00000000-0005-0000-0000-0000C0030000}"/>
    <cellStyle name="Normal 18 5 9" xfId="959" xr:uid="{00000000-0005-0000-0000-0000C1030000}"/>
    <cellStyle name="Normal 18 5 9 2" xfId="960" xr:uid="{00000000-0005-0000-0000-0000C2030000}"/>
    <cellStyle name="Normal 18 5 9 3" xfId="961" xr:uid="{00000000-0005-0000-0000-0000C3030000}"/>
    <cellStyle name="Normal 18 5 9 4" xfId="962" xr:uid="{00000000-0005-0000-0000-0000C4030000}"/>
    <cellStyle name="Normal 18 5 9 5" xfId="963" xr:uid="{00000000-0005-0000-0000-0000C5030000}"/>
    <cellStyle name="Normal 18 5 9 6" xfId="964" xr:uid="{00000000-0005-0000-0000-0000C6030000}"/>
    <cellStyle name="Normal 18 5 9 7" xfId="965" xr:uid="{00000000-0005-0000-0000-0000C7030000}"/>
    <cellStyle name="Normal 18 5 9 8" xfId="966" xr:uid="{00000000-0005-0000-0000-0000C8030000}"/>
    <cellStyle name="Normal 18 6" xfId="967" xr:uid="{00000000-0005-0000-0000-0000C9030000}"/>
    <cellStyle name="Normal 18 7" xfId="968" xr:uid="{00000000-0005-0000-0000-0000CA030000}"/>
    <cellStyle name="Normal 18 8" xfId="969" xr:uid="{00000000-0005-0000-0000-0000CB030000}"/>
    <cellStyle name="Normal 18 9" xfId="970" xr:uid="{00000000-0005-0000-0000-0000CC030000}"/>
    <cellStyle name="Normal 19" xfId="971" xr:uid="{00000000-0005-0000-0000-0000CD030000}"/>
    <cellStyle name="Normal 19 2" xfId="972" xr:uid="{00000000-0005-0000-0000-0000CE030000}"/>
    <cellStyle name="Normal 19 3" xfId="973" xr:uid="{00000000-0005-0000-0000-0000CF030000}"/>
    <cellStyle name="Normal 19 4" xfId="974" xr:uid="{00000000-0005-0000-0000-0000D0030000}"/>
    <cellStyle name="Normal 19 4 10" xfId="975" xr:uid="{00000000-0005-0000-0000-0000D1030000}"/>
    <cellStyle name="Normal 19 4 10 2" xfId="976" xr:uid="{00000000-0005-0000-0000-0000D2030000}"/>
    <cellStyle name="Normal 19 4 10 3" xfId="977" xr:uid="{00000000-0005-0000-0000-0000D3030000}"/>
    <cellStyle name="Normal 19 4 10 4" xfId="978" xr:uid="{00000000-0005-0000-0000-0000D4030000}"/>
    <cellStyle name="Normal 19 4 10 5" xfId="979" xr:uid="{00000000-0005-0000-0000-0000D5030000}"/>
    <cellStyle name="Normal 19 4 10 6" xfId="980" xr:uid="{00000000-0005-0000-0000-0000D6030000}"/>
    <cellStyle name="Normal 19 4 10 7" xfId="981" xr:uid="{00000000-0005-0000-0000-0000D7030000}"/>
    <cellStyle name="Normal 19 4 10 8" xfId="982" xr:uid="{00000000-0005-0000-0000-0000D8030000}"/>
    <cellStyle name="Normal 19 4 2" xfId="983" xr:uid="{00000000-0005-0000-0000-0000D9030000}"/>
    <cellStyle name="Normal 19 4 2 10" xfId="984" xr:uid="{00000000-0005-0000-0000-0000DA030000}"/>
    <cellStyle name="Normal 19 4 2 11" xfId="985" xr:uid="{00000000-0005-0000-0000-0000DB030000}"/>
    <cellStyle name="Normal 19 4 2 12" xfId="986" xr:uid="{00000000-0005-0000-0000-0000DC030000}"/>
    <cellStyle name="Normal 19 4 2 13" xfId="987" xr:uid="{00000000-0005-0000-0000-0000DD030000}"/>
    <cellStyle name="Normal 19 4 2 14" xfId="988" xr:uid="{00000000-0005-0000-0000-0000DE030000}"/>
    <cellStyle name="Normal 19 4 2 15" xfId="989" xr:uid="{00000000-0005-0000-0000-0000DF030000}"/>
    <cellStyle name="Normal 19 4 2 16" xfId="990" xr:uid="{00000000-0005-0000-0000-0000E0030000}"/>
    <cellStyle name="Normal 19 4 2 2" xfId="991" xr:uid="{00000000-0005-0000-0000-0000E1030000}"/>
    <cellStyle name="Normal 19 4 2 3" xfId="992" xr:uid="{00000000-0005-0000-0000-0000E2030000}"/>
    <cellStyle name="Normal 19 4 2 4" xfId="993" xr:uid="{00000000-0005-0000-0000-0000E3030000}"/>
    <cellStyle name="Normal 19 4 2 5" xfId="994" xr:uid="{00000000-0005-0000-0000-0000E4030000}"/>
    <cellStyle name="Normal 19 4 2 6" xfId="995" xr:uid="{00000000-0005-0000-0000-0000E5030000}"/>
    <cellStyle name="Normal 19 4 2 7" xfId="996" xr:uid="{00000000-0005-0000-0000-0000E6030000}"/>
    <cellStyle name="Normal 19 4 2 8" xfId="997" xr:uid="{00000000-0005-0000-0000-0000E7030000}"/>
    <cellStyle name="Normal 19 4 2 9" xfId="998" xr:uid="{00000000-0005-0000-0000-0000E8030000}"/>
    <cellStyle name="Normal 19 4 3" xfId="999" xr:uid="{00000000-0005-0000-0000-0000E9030000}"/>
    <cellStyle name="Normal 19 4 4" xfId="1000" xr:uid="{00000000-0005-0000-0000-0000EA030000}"/>
    <cellStyle name="Normal 19 4 4 2" xfId="1001" xr:uid="{00000000-0005-0000-0000-0000EB030000}"/>
    <cellStyle name="Normal 19 4 4 3" xfId="1002" xr:uid="{00000000-0005-0000-0000-0000EC030000}"/>
    <cellStyle name="Normal 19 4 4 4" xfId="1003" xr:uid="{00000000-0005-0000-0000-0000ED030000}"/>
    <cellStyle name="Normal 19 4 4 5" xfId="1004" xr:uid="{00000000-0005-0000-0000-0000EE030000}"/>
    <cellStyle name="Normal 19 4 4 6" xfId="1005" xr:uid="{00000000-0005-0000-0000-0000EF030000}"/>
    <cellStyle name="Normal 19 4 4 7" xfId="1006" xr:uid="{00000000-0005-0000-0000-0000F0030000}"/>
    <cellStyle name="Normal 19 4 4 8" xfId="1007" xr:uid="{00000000-0005-0000-0000-0000F1030000}"/>
    <cellStyle name="Normal 19 4 5" xfId="1008" xr:uid="{00000000-0005-0000-0000-0000F2030000}"/>
    <cellStyle name="Normal 19 4 5 2" xfId="1009" xr:uid="{00000000-0005-0000-0000-0000F3030000}"/>
    <cellStyle name="Normal 19 4 5 3" xfId="1010" xr:uid="{00000000-0005-0000-0000-0000F4030000}"/>
    <cellStyle name="Normal 19 4 5 4" xfId="1011" xr:uid="{00000000-0005-0000-0000-0000F5030000}"/>
    <cellStyle name="Normal 19 4 5 5" xfId="1012" xr:uid="{00000000-0005-0000-0000-0000F6030000}"/>
    <cellStyle name="Normal 19 4 5 6" xfId="1013" xr:uid="{00000000-0005-0000-0000-0000F7030000}"/>
    <cellStyle name="Normal 19 4 5 7" xfId="1014" xr:uid="{00000000-0005-0000-0000-0000F8030000}"/>
    <cellStyle name="Normal 19 4 5 8" xfId="1015" xr:uid="{00000000-0005-0000-0000-0000F9030000}"/>
    <cellStyle name="Normal 19 4 6" xfId="1016" xr:uid="{00000000-0005-0000-0000-0000FA030000}"/>
    <cellStyle name="Normal 19 4 6 2" xfId="1017" xr:uid="{00000000-0005-0000-0000-0000FB030000}"/>
    <cellStyle name="Normal 19 4 6 3" xfId="1018" xr:uid="{00000000-0005-0000-0000-0000FC030000}"/>
    <cellStyle name="Normal 19 4 6 4" xfId="1019" xr:uid="{00000000-0005-0000-0000-0000FD030000}"/>
    <cellStyle name="Normal 19 4 6 5" xfId="1020" xr:uid="{00000000-0005-0000-0000-0000FE030000}"/>
    <cellStyle name="Normal 19 4 6 6" xfId="1021" xr:uid="{00000000-0005-0000-0000-0000FF030000}"/>
    <cellStyle name="Normal 19 4 6 7" xfId="1022" xr:uid="{00000000-0005-0000-0000-000000040000}"/>
    <cellStyle name="Normal 19 4 6 8" xfId="1023" xr:uid="{00000000-0005-0000-0000-000001040000}"/>
    <cellStyle name="Normal 19 4 7" xfId="1024" xr:uid="{00000000-0005-0000-0000-000002040000}"/>
    <cellStyle name="Normal 19 4 7 2" xfId="1025" xr:uid="{00000000-0005-0000-0000-000003040000}"/>
    <cellStyle name="Normal 19 4 7 3" xfId="1026" xr:uid="{00000000-0005-0000-0000-000004040000}"/>
    <cellStyle name="Normal 19 4 7 4" xfId="1027" xr:uid="{00000000-0005-0000-0000-000005040000}"/>
    <cellStyle name="Normal 19 4 7 5" xfId="1028" xr:uid="{00000000-0005-0000-0000-000006040000}"/>
    <cellStyle name="Normal 19 4 7 6" xfId="1029" xr:uid="{00000000-0005-0000-0000-000007040000}"/>
    <cellStyle name="Normal 19 4 7 7" xfId="1030" xr:uid="{00000000-0005-0000-0000-000008040000}"/>
    <cellStyle name="Normal 19 4 7 8" xfId="1031" xr:uid="{00000000-0005-0000-0000-000009040000}"/>
    <cellStyle name="Normal 19 4 8" xfId="1032" xr:uid="{00000000-0005-0000-0000-00000A040000}"/>
    <cellStyle name="Normal 19 4 8 2" xfId="1033" xr:uid="{00000000-0005-0000-0000-00000B040000}"/>
    <cellStyle name="Normal 19 4 8 3" xfId="1034" xr:uid="{00000000-0005-0000-0000-00000C040000}"/>
    <cellStyle name="Normal 19 4 8 4" xfId="1035" xr:uid="{00000000-0005-0000-0000-00000D040000}"/>
    <cellStyle name="Normal 19 4 8 5" xfId="1036" xr:uid="{00000000-0005-0000-0000-00000E040000}"/>
    <cellStyle name="Normal 19 4 8 6" xfId="1037" xr:uid="{00000000-0005-0000-0000-00000F040000}"/>
    <cellStyle name="Normal 19 4 8 7" xfId="1038" xr:uid="{00000000-0005-0000-0000-000010040000}"/>
    <cellStyle name="Normal 19 4 8 8" xfId="1039" xr:uid="{00000000-0005-0000-0000-000011040000}"/>
    <cellStyle name="Normal 19 4 9" xfId="1040" xr:uid="{00000000-0005-0000-0000-000012040000}"/>
    <cellStyle name="Normal 19 4 9 2" xfId="1041" xr:uid="{00000000-0005-0000-0000-000013040000}"/>
    <cellStyle name="Normal 19 4 9 3" xfId="1042" xr:uid="{00000000-0005-0000-0000-000014040000}"/>
    <cellStyle name="Normal 19 4 9 4" xfId="1043" xr:uid="{00000000-0005-0000-0000-000015040000}"/>
    <cellStyle name="Normal 19 4 9 5" xfId="1044" xr:uid="{00000000-0005-0000-0000-000016040000}"/>
    <cellStyle name="Normal 19 4 9 6" xfId="1045" xr:uid="{00000000-0005-0000-0000-000017040000}"/>
    <cellStyle name="Normal 19 4 9 7" xfId="1046" xr:uid="{00000000-0005-0000-0000-000018040000}"/>
    <cellStyle name="Normal 19 4 9 8" xfId="1047" xr:uid="{00000000-0005-0000-0000-000019040000}"/>
    <cellStyle name="Normal 19 5" xfId="1048" xr:uid="{00000000-0005-0000-0000-00001A040000}"/>
    <cellStyle name="Normal 19 5 10" xfId="1049" xr:uid="{00000000-0005-0000-0000-00001B040000}"/>
    <cellStyle name="Normal 19 5 10 2" xfId="1050" xr:uid="{00000000-0005-0000-0000-00001C040000}"/>
    <cellStyle name="Normal 19 5 10 3" xfId="1051" xr:uid="{00000000-0005-0000-0000-00001D040000}"/>
    <cellStyle name="Normal 19 5 10 4" xfId="1052" xr:uid="{00000000-0005-0000-0000-00001E040000}"/>
    <cellStyle name="Normal 19 5 10 5" xfId="1053" xr:uid="{00000000-0005-0000-0000-00001F040000}"/>
    <cellStyle name="Normal 19 5 10 6" xfId="1054" xr:uid="{00000000-0005-0000-0000-000020040000}"/>
    <cellStyle name="Normal 19 5 10 7" xfId="1055" xr:uid="{00000000-0005-0000-0000-000021040000}"/>
    <cellStyle name="Normal 19 5 10 8" xfId="1056" xr:uid="{00000000-0005-0000-0000-000022040000}"/>
    <cellStyle name="Normal 19 5 2" xfId="1057" xr:uid="{00000000-0005-0000-0000-000023040000}"/>
    <cellStyle name="Normal 19 5 2 10" xfId="1058" xr:uid="{00000000-0005-0000-0000-000024040000}"/>
    <cellStyle name="Normal 19 5 2 11" xfId="1059" xr:uid="{00000000-0005-0000-0000-000025040000}"/>
    <cellStyle name="Normal 19 5 2 12" xfId="1060" xr:uid="{00000000-0005-0000-0000-000026040000}"/>
    <cellStyle name="Normal 19 5 2 13" xfId="1061" xr:uid="{00000000-0005-0000-0000-000027040000}"/>
    <cellStyle name="Normal 19 5 2 14" xfId="1062" xr:uid="{00000000-0005-0000-0000-000028040000}"/>
    <cellStyle name="Normal 19 5 2 15" xfId="1063" xr:uid="{00000000-0005-0000-0000-000029040000}"/>
    <cellStyle name="Normal 19 5 2 16" xfId="1064" xr:uid="{00000000-0005-0000-0000-00002A040000}"/>
    <cellStyle name="Normal 19 5 2 2" xfId="1065" xr:uid="{00000000-0005-0000-0000-00002B040000}"/>
    <cellStyle name="Normal 19 5 2 3" xfId="1066" xr:uid="{00000000-0005-0000-0000-00002C040000}"/>
    <cellStyle name="Normal 19 5 2 4" xfId="1067" xr:uid="{00000000-0005-0000-0000-00002D040000}"/>
    <cellStyle name="Normal 19 5 2 5" xfId="1068" xr:uid="{00000000-0005-0000-0000-00002E040000}"/>
    <cellStyle name="Normal 19 5 2 6" xfId="1069" xr:uid="{00000000-0005-0000-0000-00002F040000}"/>
    <cellStyle name="Normal 19 5 2 7" xfId="1070" xr:uid="{00000000-0005-0000-0000-000030040000}"/>
    <cellStyle name="Normal 19 5 2 8" xfId="1071" xr:uid="{00000000-0005-0000-0000-000031040000}"/>
    <cellStyle name="Normal 19 5 2 9" xfId="1072" xr:uid="{00000000-0005-0000-0000-000032040000}"/>
    <cellStyle name="Normal 19 5 3" xfId="1073" xr:uid="{00000000-0005-0000-0000-000033040000}"/>
    <cellStyle name="Normal 19 5 4" xfId="1074" xr:uid="{00000000-0005-0000-0000-000034040000}"/>
    <cellStyle name="Normal 19 5 4 2" xfId="1075" xr:uid="{00000000-0005-0000-0000-000035040000}"/>
    <cellStyle name="Normal 19 5 4 3" xfId="1076" xr:uid="{00000000-0005-0000-0000-000036040000}"/>
    <cellStyle name="Normal 19 5 4 4" xfId="1077" xr:uid="{00000000-0005-0000-0000-000037040000}"/>
    <cellStyle name="Normal 19 5 4 5" xfId="1078" xr:uid="{00000000-0005-0000-0000-000038040000}"/>
    <cellStyle name="Normal 19 5 4 6" xfId="1079" xr:uid="{00000000-0005-0000-0000-000039040000}"/>
    <cellStyle name="Normal 19 5 4 7" xfId="1080" xr:uid="{00000000-0005-0000-0000-00003A040000}"/>
    <cellStyle name="Normal 19 5 4 8" xfId="1081" xr:uid="{00000000-0005-0000-0000-00003B040000}"/>
    <cellStyle name="Normal 19 5 5" xfId="1082" xr:uid="{00000000-0005-0000-0000-00003C040000}"/>
    <cellStyle name="Normal 19 5 5 2" xfId="1083" xr:uid="{00000000-0005-0000-0000-00003D040000}"/>
    <cellStyle name="Normal 19 5 5 3" xfId="1084" xr:uid="{00000000-0005-0000-0000-00003E040000}"/>
    <cellStyle name="Normal 19 5 5 4" xfId="1085" xr:uid="{00000000-0005-0000-0000-00003F040000}"/>
    <cellStyle name="Normal 19 5 5 5" xfId="1086" xr:uid="{00000000-0005-0000-0000-000040040000}"/>
    <cellStyle name="Normal 19 5 5 6" xfId="1087" xr:uid="{00000000-0005-0000-0000-000041040000}"/>
    <cellStyle name="Normal 19 5 5 7" xfId="1088" xr:uid="{00000000-0005-0000-0000-000042040000}"/>
    <cellStyle name="Normal 19 5 5 8" xfId="1089" xr:uid="{00000000-0005-0000-0000-000043040000}"/>
    <cellStyle name="Normal 19 5 6" xfId="1090" xr:uid="{00000000-0005-0000-0000-000044040000}"/>
    <cellStyle name="Normal 19 5 6 2" xfId="1091" xr:uid="{00000000-0005-0000-0000-000045040000}"/>
    <cellStyle name="Normal 19 5 6 3" xfId="1092" xr:uid="{00000000-0005-0000-0000-000046040000}"/>
    <cellStyle name="Normal 19 5 6 4" xfId="1093" xr:uid="{00000000-0005-0000-0000-000047040000}"/>
    <cellStyle name="Normal 19 5 6 5" xfId="1094" xr:uid="{00000000-0005-0000-0000-000048040000}"/>
    <cellStyle name="Normal 19 5 6 6" xfId="1095" xr:uid="{00000000-0005-0000-0000-000049040000}"/>
    <cellStyle name="Normal 19 5 6 7" xfId="1096" xr:uid="{00000000-0005-0000-0000-00004A040000}"/>
    <cellStyle name="Normal 19 5 6 8" xfId="1097" xr:uid="{00000000-0005-0000-0000-00004B040000}"/>
    <cellStyle name="Normal 19 5 7" xfId="1098" xr:uid="{00000000-0005-0000-0000-00004C040000}"/>
    <cellStyle name="Normal 19 5 7 2" xfId="1099" xr:uid="{00000000-0005-0000-0000-00004D040000}"/>
    <cellStyle name="Normal 19 5 7 3" xfId="1100" xr:uid="{00000000-0005-0000-0000-00004E040000}"/>
    <cellStyle name="Normal 19 5 7 4" xfId="1101" xr:uid="{00000000-0005-0000-0000-00004F040000}"/>
    <cellStyle name="Normal 19 5 7 5" xfId="1102" xr:uid="{00000000-0005-0000-0000-000050040000}"/>
    <cellStyle name="Normal 19 5 7 6" xfId="1103" xr:uid="{00000000-0005-0000-0000-000051040000}"/>
    <cellStyle name="Normal 19 5 7 7" xfId="1104" xr:uid="{00000000-0005-0000-0000-000052040000}"/>
    <cellStyle name="Normal 19 5 7 8" xfId="1105" xr:uid="{00000000-0005-0000-0000-000053040000}"/>
    <cellStyle name="Normal 19 5 8" xfId="1106" xr:uid="{00000000-0005-0000-0000-000054040000}"/>
    <cellStyle name="Normal 19 5 8 2" xfId="1107" xr:uid="{00000000-0005-0000-0000-000055040000}"/>
    <cellStyle name="Normal 19 5 8 3" xfId="1108" xr:uid="{00000000-0005-0000-0000-000056040000}"/>
    <cellStyle name="Normal 19 5 8 4" xfId="1109" xr:uid="{00000000-0005-0000-0000-000057040000}"/>
    <cellStyle name="Normal 19 5 8 5" xfId="1110" xr:uid="{00000000-0005-0000-0000-000058040000}"/>
    <cellStyle name="Normal 19 5 8 6" xfId="1111" xr:uid="{00000000-0005-0000-0000-000059040000}"/>
    <cellStyle name="Normal 19 5 8 7" xfId="1112" xr:uid="{00000000-0005-0000-0000-00005A040000}"/>
    <cellStyle name="Normal 19 5 8 8" xfId="1113" xr:uid="{00000000-0005-0000-0000-00005B040000}"/>
    <cellStyle name="Normal 19 5 9" xfId="1114" xr:uid="{00000000-0005-0000-0000-00005C040000}"/>
    <cellStyle name="Normal 19 5 9 2" xfId="1115" xr:uid="{00000000-0005-0000-0000-00005D040000}"/>
    <cellStyle name="Normal 19 5 9 3" xfId="1116" xr:uid="{00000000-0005-0000-0000-00005E040000}"/>
    <cellStyle name="Normal 19 5 9 4" xfId="1117" xr:uid="{00000000-0005-0000-0000-00005F040000}"/>
    <cellStyle name="Normal 19 5 9 5" xfId="1118" xr:uid="{00000000-0005-0000-0000-000060040000}"/>
    <cellStyle name="Normal 19 5 9 6" xfId="1119" xr:uid="{00000000-0005-0000-0000-000061040000}"/>
    <cellStyle name="Normal 19 5 9 7" xfId="1120" xr:uid="{00000000-0005-0000-0000-000062040000}"/>
    <cellStyle name="Normal 19 5 9 8" xfId="1121" xr:uid="{00000000-0005-0000-0000-000063040000}"/>
    <cellStyle name="Normal 19 6" xfId="1122" xr:uid="{00000000-0005-0000-0000-000064040000}"/>
    <cellStyle name="Normal 19 7" xfId="1123" xr:uid="{00000000-0005-0000-0000-000065040000}"/>
    <cellStyle name="Normal 19 8" xfId="1124" xr:uid="{00000000-0005-0000-0000-000066040000}"/>
    <cellStyle name="Normal 19 9" xfId="1125" xr:uid="{00000000-0005-0000-0000-000067040000}"/>
    <cellStyle name="Normal 2" xfId="1126" xr:uid="{00000000-0005-0000-0000-000068040000}"/>
    <cellStyle name="Normal 2 10" xfId="1127" xr:uid="{00000000-0005-0000-0000-000069040000}"/>
    <cellStyle name="Normal 2 11" xfId="1128" xr:uid="{00000000-0005-0000-0000-00006A040000}"/>
    <cellStyle name="Normal 2 12" xfId="1129" xr:uid="{00000000-0005-0000-0000-00006B040000}"/>
    <cellStyle name="Normal 2 13" xfId="1130" xr:uid="{00000000-0005-0000-0000-00006C040000}"/>
    <cellStyle name="Normal 2 14" xfId="1131" xr:uid="{00000000-0005-0000-0000-00006D040000}"/>
    <cellStyle name="Normal 2 15" xfId="1132" xr:uid="{00000000-0005-0000-0000-00006E040000}"/>
    <cellStyle name="Normal 2 16" xfId="1133" xr:uid="{00000000-0005-0000-0000-00006F040000}"/>
    <cellStyle name="Normal 2 17" xfId="1134" xr:uid="{00000000-0005-0000-0000-000070040000}"/>
    <cellStyle name="Normal 2 18" xfId="1135" xr:uid="{00000000-0005-0000-0000-000071040000}"/>
    <cellStyle name="Normal 2 19" xfId="1136" xr:uid="{00000000-0005-0000-0000-000072040000}"/>
    <cellStyle name="Normal 2 2" xfId="1137" xr:uid="{00000000-0005-0000-0000-000073040000}"/>
    <cellStyle name="Normal 2 2 10" xfId="1138" xr:uid="{00000000-0005-0000-0000-000074040000}"/>
    <cellStyle name="Normal 2 2 11" xfId="1139" xr:uid="{00000000-0005-0000-0000-000075040000}"/>
    <cellStyle name="Normal 2 2 12" xfId="1140" xr:uid="{00000000-0005-0000-0000-000076040000}"/>
    <cellStyle name="Normal 2 2 13" xfId="1141" xr:uid="{00000000-0005-0000-0000-000077040000}"/>
    <cellStyle name="Normal 2 2 14" xfId="1142" xr:uid="{00000000-0005-0000-0000-000078040000}"/>
    <cellStyle name="Normal 2 2 15" xfId="1143" xr:uid="{00000000-0005-0000-0000-000079040000}"/>
    <cellStyle name="Normal 2 2 16" xfId="1144" xr:uid="{00000000-0005-0000-0000-00007A040000}"/>
    <cellStyle name="Normal 2 2 17" xfId="1145" xr:uid="{00000000-0005-0000-0000-00007B040000}"/>
    <cellStyle name="Normal 2 2 18" xfId="1146" xr:uid="{00000000-0005-0000-0000-00007C040000}"/>
    <cellStyle name="Normal 2 2 19" xfId="1147" xr:uid="{00000000-0005-0000-0000-00007D040000}"/>
    <cellStyle name="Normal 2 2 2" xfId="1148" xr:uid="{00000000-0005-0000-0000-00007E040000}"/>
    <cellStyle name="Normal 2 2 20" xfId="1149" xr:uid="{00000000-0005-0000-0000-00007F040000}"/>
    <cellStyle name="Normal 2 2 21" xfId="1150" xr:uid="{00000000-0005-0000-0000-000080040000}"/>
    <cellStyle name="Normal 2 2 22" xfId="1151" xr:uid="{00000000-0005-0000-0000-000081040000}"/>
    <cellStyle name="Normal 2 2 23" xfId="1152" xr:uid="{00000000-0005-0000-0000-000082040000}"/>
    <cellStyle name="Normal 2 2 24" xfId="1153" xr:uid="{00000000-0005-0000-0000-000083040000}"/>
    <cellStyle name="Normal 2 2 3" xfId="1154" xr:uid="{00000000-0005-0000-0000-000084040000}"/>
    <cellStyle name="Normal 2 2 4" xfId="1155" xr:uid="{00000000-0005-0000-0000-000085040000}"/>
    <cellStyle name="Normal 2 2 5" xfId="1156" xr:uid="{00000000-0005-0000-0000-000086040000}"/>
    <cellStyle name="Normal 2 2 6" xfId="1157" xr:uid="{00000000-0005-0000-0000-000087040000}"/>
    <cellStyle name="Normal 2 2 7" xfId="1158" xr:uid="{00000000-0005-0000-0000-000088040000}"/>
    <cellStyle name="Normal 2 2 8" xfId="1159" xr:uid="{00000000-0005-0000-0000-000089040000}"/>
    <cellStyle name="Normal 2 2 9" xfId="1160" xr:uid="{00000000-0005-0000-0000-00008A040000}"/>
    <cellStyle name="Normal 2 20" xfId="1161" xr:uid="{00000000-0005-0000-0000-00008B040000}"/>
    <cellStyle name="Normal 2 21" xfId="1162" xr:uid="{00000000-0005-0000-0000-00008C040000}"/>
    <cellStyle name="Normal 2 22" xfId="1163" xr:uid="{00000000-0005-0000-0000-00008D040000}"/>
    <cellStyle name="Normal 2 23" xfId="1164" xr:uid="{00000000-0005-0000-0000-00008E040000}"/>
    <cellStyle name="Normal 2 3" xfId="1165" xr:uid="{00000000-0005-0000-0000-00008F040000}"/>
    <cellStyle name="Normal 2 3 10" xfId="1166" xr:uid="{00000000-0005-0000-0000-000090040000}"/>
    <cellStyle name="Normal 2 3 2" xfId="1167" xr:uid="{00000000-0005-0000-0000-000091040000}"/>
    <cellStyle name="Normal 2 3 3" xfId="1168" xr:uid="{00000000-0005-0000-0000-000092040000}"/>
    <cellStyle name="Normal 2 3 4" xfId="1169" xr:uid="{00000000-0005-0000-0000-000093040000}"/>
    <cellStyle name="Normal 2 3 5" xfId="1170" xr:uid="{00000000-0005-0000-0000-000094040000}"/>
    <cellStyle name="Normal 2 3 6" xfId="1171" xr:uid="{00000000-0005-0000-0000-000095040000}"/>
    <cellStyle name="Normal 2 3 7" xfId="1172" xr:uid="{00000000-0005-0000-0000-000096040000}"/>
    <cellStyle name="Normal 2 3 8" xfId="1173" xr:uid="{00000000-0005-0000-0000-000097040000}"/>
    <cellStyle name="Normal 2 3 9" xfId="1174" xr:uid="{00000000-0005-0000-0000-000098040000}"/>
    <cellStyle name="Normal 2 4" xfId="1175" xr:uid="{00000000-0005-0000-0000-000099040000}"/>
    <cellStyle name="Normal 2 4 10" xfId="1176" xr:uid="{00000000-0005-0000-0000-00009A040000}"/>
    <cellStyle name="Normal 2 4 2" xfId="1177" xr:uid="{00000000-0005-0000-0000-00009B040000}"/>
    <cellStyle name="Normal 2 4 3" xfId="1178" xr:uid="{00000000-0005-0000-0000-00009C040000}"/>
    <cellStyle name="Normal 2 4 4" xfId="1179" xr:uid="{00000000-0005-0000-0000-00009D040000}"/>
    <cellStyle name="Normal 2 4 5" xfId="1180" xr:uid="{00000000-0005-0000-0000-00009E040000}"/>
    <cellStyle name="Normal 2 4 6" xfId="1181" xr:uid="{00000000-0005-0000-0000-00009F040000}"/>
    <cellStyle name="Normal 2 4 7" xfId="1182" xr:uid="{00000000-0005-0000-0000-0000A0040000}"/>
    <cellStyle name="Normal 2 4 8" xfId="1183" xr:uid="{00000000-0005-0000-0000-0000A1040000}"/>
    <cellStyle name="Normal 2 4 9" xfId="1184" xr:uid="{00000000-0005-0000-0000-0000A2040000}"/>
    <cellStyle name="Normal 2 5" xfId="1185" xr:uid="{00000000-0005-0000-0000-0000A3040000}"/>
    <cellStyle name="Normal 2 5 10" xfId="1186" xr:uid="{00000000-0005-0000-0000-0000A4040000}"/>
    <cellStyle name="Normal 2 5 2" xfId="1187" xr:uid="{00000000-0005-0000-0000-0000A5040000}"/>
    <cellStyle name="Normal 2 5 3" xfId="1188" xr:uid="{00000000-0005-0000-0000-0000A6040000}"/>
    <cellStyle name="Normal 2 5 4" xfId="1189" xr:uid="{00000000-0005-0000-0000-0000A7040000}"/>
    <cellStyle name="Normal 2 5 5" xfId="1190" xr:uid="{00000000-0005-0000-0000-0000A8040000}"/>
    <cellStyle name="Normal 2 5 6" xfId="1191" xr:uid="{00000000-0005-0000-0000-0000A9040000}"/>
    <cellStyle name="Normal 2 5 7" xfId="1192" xr:uid="{00000000-0005-0000-0000-0000AA040000}"/>
    <cellStyle name="Normal 2 5 8" xfId="1193" xr:uid="{00000000-0005-0000-0000-0000AB040000}"/>
    <cellStyle name="Normal 2 5 9" xfId="1194" xr:uid="{00000000-0005-0000-0000-0000AC040000}"/>
    <cellStyle name="Normal 2 6" xfId="1195" xr:uid="{00000000-0005-0000-0000-0000AD040000}"/>
    <cellStyle name="Normal 2 6 2" xfId="1196" xr:uid="{00000000-0005-0000-0000-0000AE040000}"/>
    <cellStyle name="Normal 2 6 3" xfId="1197" xr:uid="{00000000-0005-0000-0000-0000AF040000}"/>
    <cellStyle name="Normal 2 6 4" xfId="1198" xr:uid="{00000000-0005-0000-0000-0000B0040000}"/>
    <cellStyle name="Normal 2 6 5" xfId="1199" xr:uid="{00000000-0005-0000-0000-0000B1040000}"/>
    <cellStyle name="Normal 2 6 6" xfId="1200" xr:uid="{00000000-0005-0000-0000-0000B2040000}"/>
    <cellStyle name="Normal 2 6 7" xfId="1201" xr:uid="{00000000-0005-0000-0000-0000B3040000}"/>
    <cellStyle name="Normal 2 6 8" xfId="1202" xr:uid="{00000000-0005-0000-0000-0000B4040000}"/>
    <cellStyle name="Normal 2 6 9" xfId="1203" xr:uid="{00000000-0005-0000-0000-0000B5040000}"/>
    <cellStyle name="Normal 2 7" xfId="1204" xr:uid="{00000000-0005-0000-0000-0000B6040000}"/>
    <cellStyle name="Normal 2 7 2" xfId="1205" xr:uid="{00000000-0005-0000-0000-0000B7040000}"/>
    <cellStyle name="Normal 2 7 3" xfId="1206" xr:uid="{00000000-0005-0000-0000-0000B8040000}"/>
    <cellStyle name="Normal 2 7 4" xfId="1207" xr:uid="{00000000-0005-0000-0000-0000B9040000}"/>
    <cellStyle name="Normal 2 7 5" xfId="1208" xr:uid="{00000000-0005-0000-0000-0000BA040000}"/>
    <cellStyle name="Normal 2 7 6" xfId="1209" xr:uid="{00000000-0005-0000-0000-0000BB040000}"/>
    <cellStyle name="Normal 2 7 7" xfId="1210" xr:uid="{00000000-0005-0000-0000-0000BC040000}"/>
    <cellStyle name="Normal 2 7 8" xfId="1211" xr:uid="{00000000-0005-0000-0000-0000BD040000}"/>
    <cellStyle name="Normal 2 7 9" xfId="1212" xr:uid="{00000000-0005-0000-0000-0000BE040000}"/>
    <cellStyle name="Normal 2 8" xfId="1213" xr:uid="{00000000-0005-0000-0000-0000BF040000}"/>
    <cellStyle name="Normal 2 9" xfId="1214" xr:uid="{00000000-0005-0000-0000-0000C0040000}"/>
    <cellStyle name="Normal 20" xfId="1215" xr:uid="{00000000-0005-0000-0000-0000C1040000}"/>
    <cellStyle name="Normal 20 2" xfId="1216" xr:uid="{00000000-0005-0000-0000-0000C2040000}"/>
    <cellStyle name="Normal 20 2 10" xfId="1217" xr:uid="{00000000-0005-0000-0000-0000C3040000}"/>
    <cellStyle name="Normal 20 2 2" xfId="1218" xr:uid="{00000000-0005-0000-0000-0000C4040000}"/>
    <cellStyle name="Normal 20 2 3" xfId="1219" xr:uid="{00000000-0005-0000-0000-0000C5040000}"/>
    <cellStyle name="Normal 20 2 4" xfId="1220" xr:uid="{00000000-0005-0000-0000-0000C6040000}"/>
    <cellStyle name="Normal 20 2 5" xfId="1221" xr:uid="{00000000-0005-0000-0000-0000C7040000}"/>
    <cellStyle name="Normal 20 2 6" xfId="1222" xr:uid="{00000000-0005-0000-0000-0000C8040000}"/>
    <cellStyle name="Normal 20 2 7" xfId="1223" xr:uid="{00000000-0005-0000-0000-0000C9040000}"/>
    <cellStyle name="Normal 20 2 8" xfId="1224" xr:uid="{00000000-0005-0000-0000-0000CA040000}"/>
    <cellStyle name="Normal 20 2 9" xfId="1225" xr:uid="{00000000-0005-0000-0000-0000CB040000}"/>
    <cellStyle name="Normal 20 3" xfId="1226" xr:uid="{00000000-0005-0000-0000-0000CC040000}"/>
    <cellStyle name="Normal 20 3 10" xfId="1227" xr:uid="{00000000-0005-0000-0000-0000CD040000}"/>
    <cellStyle name="Normal 20 3 2" xfId="1228" xr:uid="{00000000-0005-0000-0000-0000CE040000}"/>
    <cellStyle name="Normal 20 3 3" xfId="1229" xr:uid="{00000000-0005-0000-0000-0000CF040000}"/>
    <cellStyle name="Normal 20 3 4" xfId="1230" xr:uid="{00000000-0005-0000-0000-0000D0040000}"/>
    <cellStyle name="Normal 20 3 5" xfId="1231" xr:uid="{00000000-0005-0000-0000-0000D1040000}"/>
    <cellStyle name="Normal 20 3 6" xfId="1232" xr:uid="{00000000-0005-0000-0000-0000D2040000}"/>
    <cellStyle name="Normal 20 3 7" xfId="1233" xr:uid="{00000000-0005-0000-0000-0000D3040000}"/>
    <cellStyle name="Normal 20 3 8" xfId="1234" xr:uid="{00000000-0005-0000-0000-0000D4040000}"/>
    <cellStyle name="Normal 20 3 9" xfId="1235" xr:uid="{00000000-0005-0000-0000-0000D5040000}"/>
    <cellStyle name="Normal 20 4" xfId="1236" xr:uid="{00000000-0005-0000-0000-0000D6040000}"/>
    <cellStyle name="Normal 20 4 10" xfId="1237" xr:uid="{00000000-0005-0000-0000-0000D7040000}"/>
    <cellStyle name="Normal 20 4 2" xfId="1238" xr:uid="{00000000-0005-0000-0000-0000D8040000}"/>
    <cellStyle name="Normal 20 4 3" xfId="1239" xr:uid="{00000000-0005-0000-0000-0000D9040000}"/>
    <cellStyle name="Normal 20 4 4" xfId="1240" xr:uid="{00000000-0005-0000-0000-0000DA040000}"/>
    <cellStyle name="Normal 20 4 5" xfId="1241" xr:uid="{00000000-0005-0000-0000-0000DB040000}"/>
    <cellStyle name="Normal 20 4 6" xfId="1242" xr:uid="{00000000-0005-0000-0000-0000DC040000}"/>
    <cellStyle name="Normal 20 4 7" xfId="1243" xr:uid="{00000000-0005-0000-0000-0000DD040000}"/>
    <cellStyle name="Normal 20 4 8" xfId="1244" xr:uid="{00000000-0005-0000-0000-0000DE040000}"/>
    <cellStyle name="Normal 20 4 9" xfId="1245" xr:uid="{00000000-0005-0000-0000-0000DF040000}"/>
    <cellStyle name="Normal 20 5" xfId="1246" xr:uid="{00000000-0005-0000-0000-0000E0040000}"/>
    <cellStyle name="Normal 20 5 10" xfId="1247" xr:uid="{00000000-0005-0000-0000-0000E1040000}"/>
    <cellStyle name="Normal 20 5 2" xfId="1248" xr:uid="{00000000-0005-0000-0000-0000E2040000}"/>
    <cellStyle name="Normal 20 5 3" xfId="1249" xr:uid="{00000000-0005-0000-0000-0000E3040000}"/>
    <cellStyle name="Normal 20 5 4" xfId="1250" xr:uid="{00000000-0005-0000-0000-0000E4040000}"/>
    <cellStyle name="Normal 20 5 5" xfId="1251" xr:uid="{00000000-0005-0000-0000-0000E5040000}"/>
    <cellStyle name="Normal 20 5 6" xfId="1252" xr:uid="{00000000-0005-0000-0000-0000E6040000}"/>
    <cellStyle name="Normal 20 5 7" xfId="1253" xr:uid="{00000000-0005-0000-0000-0000E7040000}"/>
    <cellStyle name="Normal 20 5 8" xfId="1254" xr:uid="{00000000-0005-0000-0000-0000E8040000}"/>
    <cellStyle name="Normal 20 5 9" xfId="1255" xr:uid="{00000000-0005-0000-0000-0000E9040000}"/>
    <cellStyle name="Normal 20 6" xfId="1256" xr:uid="{00000000-0005-0000-0000-0000EA040000}"/>
    <cellStyle name="Normal 20 6 2" xfId="1257" xr:uid="{00000000-0005-0000-0000-0000EB040000}"/>
    <cellStyle name="Normal 20 6 3" xfId="1258" xr:uid="{00000000-0005-0000-0000-0000EC040000}"/>
    <cellStyle name="Normal 20 6 4" xfId="1259" xr:uid="{00000000-0005-0000-0000-0000ED040000}"/>
    <cellStyle name="Normal 20 6 5" xfId="1260" xr:uid="{00000000-0005-0000-0000-0000EE040000}"/>
    <cellStyle name="Normal 20 6 6" xfId="1261" xr:uid="{00000000-0005-0000-0000-0000EF040000}"/>
    <cellStyle name="Normal 20 6 7" xfId="1262" xr:uid="{00000000-0005-0000-0000-0000F0040000}"/>
    <cellStyle name="Normal 20 6 8" xfId="1263" xr:uid="{00000000-0005-0000-0000-0000F1040000}"/>
    <cellStyle name="Normal 20 6 9" xfId="1264" xr:uid="{00000000-0005-0000-0000-0000F2040000}"/>
    <cellStyle name="Normal 20 7" xfId="1265" xr:uid="{00000000-0005-0000-0000-0000F3040000}"/>
    <cellStyle name="Normal 20 7 2" xfId="1266" xr:uid="{00000000-0005-0000-0000-0000F4040000}"/>
    <cellStyle name="Normal 20 7 3" xfId="1267" xr:uid="{00000000-0005-0000-0000-0000F5040000}"/>
    <cellStyle name="Normal 20 7 4" xfId="1268" xr:uid="{00000000-0005-0000-0000-0000F6040000}"/>
    <cellStyle name="Normal 20 7 5" xfId="1269" xr:uid="{00000000-0005-0000-0000-0000F7040000}"/>
    <cellStyle name="Normal 20 7 6" xfId="1270" xr:uid="{00000000-0005-0000-0000-0000F8040000}"/>
    <cellStyle name="Normal 20 7 7" xfId="1271" xr:uid="{00000000-0005-0000-0000-0000F9040000}"/>
    <cellStyle name="Normal 20 7 8" xfId="1272" xr:uid="{00000000-0005-0000-0000-0000FA040000}"/>
    <cellStyle name="Normal 20 7 9" xfId="1273" xr:uid="{00000000-0005-0000-0000-0000FB040000}"/>
    <cellStyle name="Normal 20 8" xfId="1274" xr:uid="{00000000-0005-0000-0000-0000FC040000}"/>
    <cellStyle name="Normal 20 9" xfId="1275" xr:uid="{00000000-0005-0000-0000-0000FD040000}"/>
    <cellStyle name="Normal 21" xfId="1276" xr:uid="{00000000-0005-0000-0000-0000FE040000}"/>
    <cellStyle name="Normal 21 10" xfId="1277" xr:uid="{00000000-0005-0000-0000-0000FF040000}"/>
    <cellStyle name="Normal 21 10 2" xfId="1278" xr:uid="{00000000-0005-0000-0000-000000050000}"/>
    <cellStyle name="Normal 21 10 3" xfId="1279" xr:uid="{00000000-0005-0000-0000-000001050000}"/>
    <cellStyle name="Normal 21 10 4" xfId="1280" xr:uid="{00000000-0005-0000-0000-000002050000}"/>
    <cellStyle name="Normal 21 10 5" xfId="1281" xr:uid="{00000000-0005-0000-0000-000003050000}"/>
    <cellStyle name="Normal 21 10 6" xfId="1282" xr:uid="{00000000-0005-0000-0000-000004050000}"/>
    <cellStyle name="Normal 21 10 7" xfId="1283" xr:uid="{00000000-0005-0000-0000-000005050000}"/>
    <cellStyle name="Normal 21 10 8" xfId="1284" xr:uid="{00000000-0005-0000-0000-000006050000}"/>
    <cellStyle name="Normal 21 11" xfId="1285" xr:uid="{00000000-0005-0000-0000-000007050000}"/>
    <cellStyle name="Normal 21 11 2" xfId="1286" xr:uid="{00000000-0005-0000-0000-000008050000}"/>
    <cellStyle name="Normal 21 11 3" xfId="1287" xr:uid="{00000000-0005-0000-0000-000009050000}"/>
    <cellStyle name="Normal 21 11 4" xfId="1288" xr:uid="{00000000-0005-0000-0000-00000A050000}"/>
    <cellStyle name="Normal 21 11 5" xfId="1289" xr:uid="{00000000-0005-0000-0000-00000B050000}"/>
    <cellStyle name="Normal 21 11 6" xfId="1290" xr:uid="{00000000-0005-0000-0000-00000C050000}"/>
    <cellStyle name="Normal 21 11 7" xfId="1291" xr:uid="{00000000-0005-0000-0000-00000D050000}"/>
    <cellStyle name="Normal 21 11 8" xfId="1292" xr:uid="{00000000-0005-0000-0000-00000E050000}"/>
    <cellStyle name="Normal 21 12" xfId="1293" xr:uid="{00000000-0005-0000-0000-00000F050000}"/>
    <cellStyle name="Normal 21 12 2" xfId="1294" xr:uid="{00000000-0005-0000-0000-000010050000}"/>
    <cellStyle name="Normal 21 12 3" xfId="1295" xr:uid="{00000000-0005-0000-0000-000011050000}"/>
    <cellStyle name="Normal 21 12 4" xfId="1296" xr:uid="{00000000-0005-0000-0000-000012050000}"/>
    <cellStyle name="Normal 21 12 5" xfId="1297" xr:uid="{00000000-0005-0000-0000-000013050000}"/>
    <cellStyle name="Normal 21 12 6" xfId="1298" xr:uid="{00000000-0005-0000-0000-000014050000}"/>
    <cellStyle name="Normal 21 12 7" xfId="1299" xr:uid="{00000000-0005-0000-0000-000015050000}"/>
    <cellStyle name="Normal 21 12 8" xfId="1300" xr:uid="{00000000-0005-0000-0000-000016050000}"/>
    <cellStyle name="Normal 21 13" xfId="1301" xr:uid="{00000000-0005-0000-0000-000017050000}"/>
    <cellStyle name="Normal 21 13 2" xfId="1302" xr:uid="{00000000-0005-0000-0000-000018050000}"/>
    <cellStyle name="Normal 21 13 3" xfId="1303" xr:uid="{00000000-0005-0000-0000-000019050000}"/>
    <cellStyle name="Normal 21 13 4" xfId="1304" xr:uid="{00000000-0005-0000-0000-00001A050000}"/>
    <cellStyle name="Normal 21 13 5" xfId="1305" xr:uid="{00000000-0005-0000-0000-00001B050000}"/>
    <cellStyle name="Normal 21 13 6" xfId="1306" xr:uid="{00000000-0005-0000-0000-00001C050000}"/>
    <cellStyle name="Normal 21 13 7" xfId="1307" xr:uid="{00000000-0005-0000-0000-00001D050000}"/>
    <cellStyle name="Normal 21 13 8" xfId="1308" xr:uid="{00000000-0005-0000-0000-00001E050000}"/>
    <cellStyle name="Normal 21 14" xfId="1309" xr:uid="{00000000-0005-0000-0000-00001F050000}"/>
    <cellStyle name="Normal 21 14 2" xfId="1310" xr:uid="{00000000-0005-0000-0000-000020050000}"/>
    <cellStyle name="Normal 21 14 3" xfId="1311" xr:uid="{00000000-0005-0000-0000-000021050000}"/>
    <cellStyle name="Normal 21 14 4" xfId="1312" xr:uid="{00000000-0005-0000-0000-000022050000}"/>
    <cellStyle name="Normal 21 14 5" xfId="1313" xr:uid="{00000000-0005-0000-0000-000023050000}"/>
    <cellStyle name="Normal 21 14 6" xfId="1314" xr:uid="{00000000-0005-0000-0000-000024050000}"/>
    <cellStyle name="Normal 21 14 7" xfId="1315" xr:uid="{00000000-0005-0000-0000-000025050000}"/>
    <cellStyle name="Normal 21 14 8" xfId="1316" xr:uid="{00000000-0005-0000-0000-000026050000}"/>
    <cellStyle name="Normal 21 15" xfId="1317" xr:uid="{00000000-0005-0000-0000-000027050000}"/>
    <cellStyle name="Normal 21 15 2" xfId="1318" xr:uid="{00000000-0005-0000-0000-000028050000}"/>
    <cellStyle name="Normal 21 15 3" xfId="1319" xr:uid="{00000000-0005-0000-0000-000029050000}"/>
    <cellStyle name="Normal 21 15 4" xfId="1320" xr:uid="{00000000-0005-0000-0000-00002A050000}"/>
    <cellStyle name="Normal 21 15 5" xfId="1321" xr:uid="{00000000-0005-0000-0000-00002B050000}"/>
    <cellStyle name="Normal 21 15 6" xfId="1322" xr:uid="{00000000-0005-0000-0000-00002C050000}"/>
    <cellStyle name="Normal 21 15 7" xfId="1323" xr:uid="{00000000-0005-0000-0000-00002D050000}"/>
    <cellStyle name="Normal 21 15 8" xfId="1324" xr:uid="{00000000-0005-0000-0000-00002E050000}"/>
    <cellStyle name="Normal 21 16" xfId="1325" xr:uid="{00000000-0005-0000-0000-00002F050000}"/>
    <cellStyle name="Normal 21 16 2" xfId="1326" xr:uid="{00000000-0005-0000-0000-000030050000}"/>
    <cellStyle name="Normal 21 16 3" xfId="1327" xr:uid="{00000000-0005-0000-0000-000031050000}"/>
    <cellStyle name="Normal 21 16 4" xfId="1328" xr:uid="{00000000-0005-0000-0000-000032050000}"/>
    <cellStyle name="Normal 21 16 5" xfId="1329" xr:uid="{00000000-0005-0000-0000-000033050000}"/>
    <cellStyle name="Normal 21 16 6" xfId="1330" xr:uid="{00000000-0005-0000-0000-000034050000}"/>
    <cellStyle name="Normal 21 16 7" xfId="1331" xr:uid="{00000000-0005-0000-0000-000035050000}"/>
    <cellStyle name="Normal 21 16 8" xfId="1332" xr:uid="{00000000-0005-0000-0000-000036050000}"/>
    <cellStyle name="Normal 21 17" xfId="1333" xr:uid="{00000000-0005-0000-0000-000037050000}"/>
    <cellStyle name="Normal 21 17 2" xfId="1334" xr:uid="{00000000-0005-0000-0000-000038050000}"/>
    <cellStyle name="Normal 21 17 3" xfId="1335" xr:uid="{00000000-0005-0000-0000-000039050000}"/>
    <cellStyle name="Normal 21 17 4" xfId="1336" xr:uid="{00000000-0005-0000-0000-00003A050000}"/>
    <cellStyle name="Normal 21 17 5" xfId="1337" xr:uid="{00000000-0005-0000-0000-00003B050000}"/>
    <cellStyle name="Normal 21 17 6" xfId="1338" xr:uid="{00000000-0005-0000-0000-00003C050000}"/>
    <cellStyle name="Normal 21 17 7" xfId="1339" xr:uid="{00000000-0005-0000-0000-00003D050000}"/>
    <cellStyle name="Normal 21 17 8" xfId="1340" xr:uid="{00000000-0005-0000-0000-00003E050000}"/>
    <cellStyle name="Normal 21 2" xfId="1341" xr:uid="{00000000-0005-0000-0000-00003F050000}"/>
    <cellStyle name="Normal 21 3" xfId="1342" xr:uid="{00000000-0005-0000-0000-000040050000}"/>
    <cellStyle name="Normal 21 4" xfId="1343" xr:uid="{00000000-0005-0000-0000-000041050000}"/>
    <cellStyle name="Normal 21 4 10" xfId="1344" xr:uid="{00000000-0005-0000-0000-000042050000}"/>
    <cellStyle name="Normal 21 4 10 2" xfId="1345" xr:uid="{00000000-0005-0000-0000-000043050000}"/>
    <cellStyle name="Normal 21 4 10 3" xfId="1346" xr:uid="{00000000-0005-0000-0000-000044050000}"/>
    <cellStyle name="Normal 21 4 10 4" xfId="1347" xr:uid="{00000000-0005-0000-0000-000045050000}"/>
    <cellStyle name="Normal 21 4 10 5" xfId="1348" xr:uid="{00000000-0005-0000-0000-000046050000}"/>
    <cellStyle name="Normal 21 4 10 6" xfId="1349" xr:uid="{00000000-0005-0000-0000-000047050000}"/>
    <cellStyle name="Normal 21 4 10 7" xfId="1350" xr:uid="{00000000-0005-0000-0000-000048050000}"/>
    <cellStyle name="Normal 21 4 10 8" xfId="1351" xr:uid="{00000000-0005-0000-0000-000049050000}"/>
    <cellStyle name="Normal 21 4 2" xfId="1352" xr:uid="{00000000-0005-0000-0000-00004A050000}"/>
    <cellStyle name="Normal 21 4 2 10" xfId="1353" xr:uid="{00000000-0005-0000-0000-00004B050000}"/>
    <cellStyle name="Normal 21 4 2 11" xfId="1354" xr:uid="{00000000-0005-0000-0000-00004C050000}"/>
    <cellStyle name="Normal 21 4 2 12" xfId="1355" xr:uid="{00000000-0005-0000-0000-00004D050000}"/>
    <cellStyle name="Normal 21 4 2 13" xfId="1356" xr:uid="{00000000-0005-0000-0000-00004E050000}"/>
    <cellStyle name="Normal 21 4 2 14" xfId="1357" xr:uid="{00000000-0005-0000-0000-00004F050000}"/>
    <cellStyle name="Normal 21 4 2 15" xfId="1358" xr:uid="{00000000-0005-0000-0000-000050050000}"/>
    <cellStyle name="Normal 21 4 2 16" xfId="1359" xr:uid="{00000000-0005-0000-0000-000051050000}"/>
    <cellStyle name="Normal 21 4 2 2" xfId="1360" xr:uid="{00000000-0005-0000-0000-000052050000}"/>
    <cellStyle name="Normal 21 4 2 3" xfId="1361" xr:uid="{00000000-0005-0000-0000-000053050000}"/>
    <cellStyle name="Normal 21 4 2 4" xfId="1362" xr:uid="{00000000-0005-0000-0000-000054050000}"/>
    <cellStyle name="Normal 21 4 2 5" xfId="1363" xr:uid="{00000000-0005-0000-0000-000055050000}"/>
    <cellStyle name="Normal 21 4 2 6" xfId="1364" xr:uid="{00000000-0005-0000-0000-000056050000}"/>
    <cellStyle name="Normal 21 4 2 7" xfId="1365" xr:uid="{00000000-0005-0000-0000-000057050000}"/>
    <cellStyle name="Normal 21 4 2 8" xfId="1366" xr:uid="{00000000-0005-0000-0000-000058050000}"/>
    <cellStyle name="Normal 21 4 2 9" xfId="1367" xr:uid="{00000000-0005-0000-0000-000059050000}"/>
    <cellStyle name="Normal 21 4 3" xfId="1368" xr:uid="{00000000-0005-0000-0000-00005A050000}"/>
    <cellStyle name="Normal 21 4 4" xfId="1369" xr:uid="{00000000-0005-0000-0000-00005B050000}"/>
    <cellStyle name="Normal 21 4 4 2" xfId="1370" xr:uid="{00000000-0005-0000-0000-00005C050000}"/>
    <cellStyle name="Normal 21 4 4 3" xfId="1371" xr:uid="{00000000-0005-0000-0000-00005D050000}"/>
    <cellStyle name="Normal 21 4 4 4" xfId="1372" xr:uid="{00000000-0005-0000-0000-00005E050000}"/>
    <cellStyle name="Normal 21 4 4 5" xfId="1373" xr:uid="{00000000-0005-0000-0000-00005F050000}"/>
    <cellStyle name="Normal 21 4 4 6" xfId="1374" xr:uid="{00000000-0005-0000-0000-000060050000}"/>
    <cellStyle name="Normal 21 4 4 7" xfId="1375" xr:uid="{00000000-0005-0000-0000-000061050000}"/>
    <cellStyle name="Normal 21 4 4 8" xfId="1376" xr:uid="{00000000-0005-0000-0000-000062050000}"/>
    <cellStyle name="Normal 21 4 5" xfId="1377" xr:uid="{00000000-0005-0000-0000-000063050000}"/>
    <cellStyle name="Normal 21 4 5 2" xfId="1378" xr:uid="{00000000-0005-0000-0000-000064050000}"/>
    <cellStyle name="Normal 21 4 5 3" xfId="1379" xr:uid="{00000000-0005-0000-0000-000065050000}"/>
    <cellStyle name="Normal 21 4 5 4" xfId="1380" xr:uid="{00000000-0005-0000-0000-000066050000}"/>
    <cellStyle name="Normal 21 4 5 5" xfId="1381" xr:uid="{00000000-0005-0000-0000-000067050000}"/>
    <cellStyle name="Normal 21 4 5 6" xfId="1382" xr:uid="{00000000-0005-0000-0000-000068050000}"/>
    <cellStyle name="Normal 21 4 5 7" xfId="1383" xr:uid="{00000000-0005-0000-0000-000069050000}"/>
    <cellStyle name="Normal 21 4 5 8" xfId="1384" xr:uid="{00000000-0005-0000-0000-00006A050000}"/>
    <cellStyle name="Normal 21 4 6" xfId="1385" xr:uid="{00000000-0005-0000-0000-00006B050000}"/>
    <cellStyle name="Normal 21 4 6 2" xfId="1386" xr:uid="{00000000-0005-0000-0000-00006C050000}"/>
    <cellStyle name="Normal 21 4 6 3" xfId="1387" xr:uid="{00000000-0005-0000-0000-00006D050000}"/>
    <cellStyle name="Normal 21 4 6 4" xfId="1388" xr:uid="{00000000-0005-0000-0000-00006E050000}"/>
    <cellStyle name="Normal 21 4 6 5" xfId="1389" xr:uid="{00000000-0005-0000-0000-00006F050000}"/>
    <cellStyle name="Normal 21 4 6 6" xfId="1390" xr:uid="{00000000-0005-0000-0000-000070050000}"/>
    <cellStyle name="Normal 21 4 6 7" xfId="1391" xr:uid="{00000000-0005-0000-0000-000071050000}"/>
    <cellStyle name="Normal 21 4 6 8" xfId="1392" xr:uid="{00000000-0005-0000-0000-000072050000}"/>
    <cellStyle name="Normal 21 4 7" xfId="1393" xr:uid="{00000000-0005-0000-0000-000073050000}"/>
    <cellStyle name="Normal 21 4 7 2" xfId="1394" xr:uid="{00000000-0005-0000-0000-000074050000}"/>
    <cellStyle name="Normal 21 4 7 3" xfId="1395" xr:uid="{00000000-0005-0000-0000-000075050000}"/>
    <cellStyle name="Normal 21 4 7 4" xfId="1396" xr:uid="{00000000-0005-0000-0000-000076050000}"/>
    <cellStyle name="Normal 21 4 7 5" xfId="1397" xr:uid="{00000000-0005-0000-0000-000077050000}"/>
    <cellStyle name="Normal 21 4 7 6" xfId="1398" xr:uid="{00000000-0005-0000-0000-000078050000}"/>
    <cellStyle name="Normal 21 4 7 7" xfId="1399" xr:uid="{00000000-0005-0000-0000-000079050000}"/>
    <cellStyle name="Normal 21 4 7 8" xfId="1400" xr:uid="{00000000-0005-0000-0000-00007A050000}"/>
    <cellStyle name="Normal 21 4 8" xfId="1401" xr:uid="{00000000-0005-0000-0000-00007B050000}"/>
    <cellStyle name="Normal 21 4 8 2" xfId="1402" xr:uid="{00000000-0005-0000-0000-00007C050000}"/>
    <cellStyle name="Normal 21 4 8 3" xfId="1403" xr:uid="{00000000-0005-0000-0000-00007D050000}"/>
    <cellStyle name="Normal 21 4 8 4" xfId="1404" xr:uid="{00000000-0005-0000-0000-00007E050000}"/>
    <cellStyle name="Normal 21 4 8 5" xfId="1405" xr:uid="{00000000-0005-0000-0000-00007F050000}"/>
    <cellStyle name="Normal 21 4 8 6" xfId="1406" xr:uid="{00000000-0005-0000-0000-000080050000}"/>
    <cellStyle name="Normal 21 4 8 7" xfId="1407" xr:uid="{00000000-0005-0000-0000-000081050000}"/>
    <cellStyle name="Normal 21 4 8 8" xfId="1408" xr:uid="{00000000-0005-0000-0000-000082050000}"/>
    <cellStyle name="Normal 21 4 9" xfId="1409" xr:uid="{00000000-0005-0000-0000-000083050000}"/>
    <cellStyle name="Normal 21 4 9 2" xfId="1410" xr:uid="{00000000-0005-0000-0000-000084050000}"/>
    <cellStyle name="Normal 21 4 9 3" xfId="1411" xr:uid="{00000000-0005-0000-0000-000085050000}"/>
    <cellStyle name="Normal 21 4 9 4" xfId="1412" xr:uid="{00000000-0005-0000-0000-000086050000}"/>
    <cellStyle name="Normal 21 4 9 5" xfId="1413" xr:uid="{00000000-0005-0000-0000-000087050000}"/>
    <cellStyle name="Normal 21 4 9 6" xfId="1414" xr:uid="{00000000-0005-0000-0000-000088050000}"/>
    <cellStyle name="Normal 21 4 9 7" xfId="1415" xr:uid="{00000000-0005-0000-0000-000089050000}"/>
    <cellStyle name="Normal 21 4 9 8" xfId="1416" xr:uid="{00000000-0005-0000-0000-00008A050000}"/>
    <cellStyle name="Normal 21 5" xfId="1417" xr:uid="{00000000-0005-0000-0000-00008B050000}"/>
    <cellStyle name="Normal 21 5 10" xfId="1418" xr:uid="{00000000-0005-0000-0000-00008C050000}"/>
    <cellStyle name="Normal 21 5 10 2" xfId="1419" xr:uid="{00000000-0005-0000-0000-00008D050000}"/>
    <cellStyle name="Normal 21 5 10 3" xfId="1420" xr:uid="{00000000-0005-0000-0000-00008E050000}"/>
    <cellStyle name="Normal 21 5 10 4" xfId="1421" xr:uid="{00000000-0005-0000-0000-00008F050000}"/>
    <cellStyle name="Normal 21 5 10 5" xfId="1422" xr:uid="{00000000-0005-0000-0000-000090050000}"/>
    <cellStyle name="Normal 21 5 10 6" xfId="1423" xr:uid="{00000000-0005-0000-0000-000091050000}"/>
    <cellStyle name="Normal 21 5 10 7" xfId="1424" xr:uid="{00000000-0005-0000-0000-000092050000}"/>
    <cellStyle name="Normal 21 5 10 8" xfId="1425" xr:uid="{00000000-0005-0000-0000-000093050000}"/>
    <cellStyle name="Normal 21 5 2" xfId="1426" xr:uid="{00000000-0005-0000-0000-000094050000}"/>
    <cellStyle name="Normal 21 5 2 10" xfId="1427" xr:uid="{00000000-0005-0000-0000-000095050000}"/>
    <cellStyle name="Normal 21 5 2 11" xfId="1428" xr:uid="{00000000-0005-0000-0000-000096050000}"/>
    <cellStyle name="Normal 21 5 2 12" xfId="1429" xr:uid="{00000000-0005-0000-0000-000097050000}"/>
    <cellStyle name="Normal 21 5 2 13" xfId="1430" xr:uid="{00000000-0005-0000-0000-000098050000}"/>
    <cellStyle name="Normal 21 5 2 14" xfId="1431" xr:uid="{00000000-0005-0000-0000-000099050000}"/>
    <cellStyle name="Normal 21 5 2 15" xfId="1432" xr:uid="{00000000-0005-0000-0000-00009A050000}"/>
    <cellStyle name="Normal 21 5 2 16" xfId="1433" xr:uid="{00000000-0005-0000-0000-00009B050000}"/>
    <cellStyle name="Normal 21 5 2 2" xfId="1434" xr:uid="{00000000-0005-0000-0000-00009C050000}"/>
    <cellStyle name="Normal 21 5 2 3" xfId="1435" xr:uid="{00000000-0005-0000-0000-00009D050000}"/>
    <cellStyle name="Normal 21 5 2 4" xfId="1436" xr:uid="{00000000-0005-0000-0000-00009E050000}"/>
    <cellStyle name="Normal 21 5 2 5" xfId="1437" xr:uid="{00000000-0005-0000-0000-00009F050000}"/>
    <cellStyle name="Normal 21 5 2 6" xfId="1438" xr:uid="{00000000-0005-0000-0000-0000A0050000}"/>
    <cellStyle name="Normal 21 5 2 7" xfId="1439" xr:uid="{00000000-0005-0000-0000-0000A1050000}"/>
    <cellStyle name="Normal 21 5 2 8" xfId="1440" xr:uid="{00000000-0005-0000-0000-0000A2050000}"/>
    <cellStyle name="Normal 21 5 2 9" xfId="1441" xr:uid="{00000000-0005-0000-0000-0000A3050000}"/>
    <cellStyle name="Normal 21 5 3" xfId="1442" xr:uid="{00000000-0005-0000-0000-0000A4050000}"/>
    <cellStyle name="Normal 21 5 4" xfId="1443" xr:uid="{00000000-0005-0000-0000-0000A5050000}"/>
    <cellStyle name="Normal 21 5 4 2" xfId="1444" xr:uid="{00000000-0005-0000-0000-0000A6050000}"/>
    <cellStyle name="Normal 21 5 4 3" xfId="1445" xr:uid="{00000000-0005-0000-0000-0000A7050000}"/>
    <cellStyle name="Normal 21 5 4 4" xfId="1446" xr:uid="{00000000-0005-0000-0000-0000A8050000}"/>
    <cellStyle name="Normal 21 5 4 5" xfId="1447" xr:uid="{00000000-0005-0000-0000-0000A9050000}"/>
    <cellStyle name="Normal 21 5 4 6" xfId="1448" xr:uid="{00000000-0005-0000-0000-0000AA050000}"/>
    <cellStyle name="Normal 21 5 4 7" xfId="1449" xr:uid="{00000000-0005-0000-0000-0000AB050000}"/>
    <cellStyle name="Normal 21 5 4 8" xfId="1450" xr:uid="{00000000-0005-0000-0000-0000AC050000}"/>
    <cellStyle name="Normal 21 5 5" xfId="1451" xr:uid="{00000000-0005-0000-0000-0000AD050000}"/>
    <cellStyle name="Normal 21 5 5 2" xfId="1452" xr:uid="{00000000-0005-0000-0000-0000AE050000}"/>
    <cellStyle name="Normal 21 5 5 3" xfId="1453" xr:uid="{00000000-0005-0000-0000-0000AF050000}"/>
    <cellStyle name="Normal 21 5 5 4" xfId="1454" xr:uid="{00000000-0005-0000-0000-0000B0050000}"/>
    <cellStyle name="Normal 21 5 5 5" xfId="1455" xr:uid="{00000000-0005-0000-0000-0000B1050000}"/>
    <cellStyle name="Normal 21 5 5 6" xfId="1456" xr:uid="{00000000-0005-0000-0000-0000B2050000}"/>
    <cellStyle name="Normal 21 5 5 7" xfId="1457" xr:uid="{00000000-0005-0000-0000-0000B3050000}"/>
    <cellStyle name="Normal 21 5 5 8" xfId="1458" xr:uid="{00000000-0005-0000-0000-0000B4050000}"/>
    <cellStyle name="Normal 21 5 6" xfId="1459" xr:uid="{00000000-0005-0000-0000-0000B5050000}"/>
    <cellStyle name="Normal 21 5 6 2" xfId="1460" xr:uid="{00000000-0005-0000-0000-0000B6050000}"/>
    <cellStyle name="Normal 21 5 6 3" xfId="1461" xr:uid="{00000000-0005-0000-0000-0000B7050000}"/>
    <cellStyle name="Normal 21 5 6 4" xfId="1462" xr:uid="{00000000-0005-0000-0000-0000B8050000}"/>
    <cellStyle name="Normal 21 5 6 5" xfId="1463" xr:uid="{00000000-0005-0000-0000-0000B9050000}"/>
    <cellStyle name="Normal 21 5 6 6" xfId="1464" xr:uid="{00000000-0005-0000-0000-0000BA050000}"/>
    <cellStyle name="Normal 21 5 6 7" xfId="1465" xr:uid="{00000000-0005-0000-0000-0000BB050000}"/>
    <cellStyle name="Normal 21 5 6 8" xfId="1466" xr:uid="{00000000-0005-0000-0000-0000BC050000}"/>
    <cellStyle name="Normal 21 5 7" xfId="1467" xr:uid="{00000000-0005-0000-0000-0000BD050000}"/>
    <cellStyle name="Normal 21 5 7 2" xfId="1468" xr:uid="{00000000-0005-0000-0000-0000BE050000}"/>
    <cellStyle name="Normal 21 5 7 3" xfId="1469" xr:uid="{00000000-0005-0000-0000-0000BF050000}"/>
    <cellStyle name="Normal 21 5 7 4" xfId="1470" xr:uid="{00000000-0005-0000-0000-0000C0050000}"/>
    <cellStyle name="Normal 21 5 7 5" xfId="1471" xr:uid="{00000000-0005-0000-0000-0000C1050000}"/>
    <cellStyle name="Normal 21 5 7 6" xfId="1472" xr:uid="{00000000-0005-0000-0000-0000C2050000}"/>
    <cellStyle name="Normal 21 5 7 7" xfId="1473" xr:uid="{00000000-0005-0000-0000-0000C3050000}"/>
    <cellStyle name="Normal 21 5 7 8" xfId="1474" xr:uid="{00000000-0005-0000-0000-0000C4050000}"/>
    <cellStyle name="Normal 21 5 8" xfId="1475" xr:uid="{00000000-0005-0000-0000-0000C5050000}"/>
    <cellStyle name="Normal 21 5 8 2" xfId="1476" xr:uid="{00000000-0005-0000-0000-0000C6050000}"/>
    <cellStyle name="Normal 21 5 8 3" xfId="1477" xr:uid="{00000000-0005-0000-0000-0000C7050000}"/>
    <cellStyle name="Normal 21 5 8 4" xfId="1478" xr:uid="{00000000-0005-0000-0000-0000C8050000}"/>
    <cellStyle name="Normal 21 5 8 5" xfId="1479" xr:uid="{00000000-0005-0000-0000-0000C9050000}"/>
    <cellStyle name="Normal 21 5 8 6" xfId="1480" xr:uid="{00000000-0005-0000-0000-0000CA050000}"/>
    <cellStyle name="Normal 21 5 8 7" xfId="1481" xr:uid="{00000000-0005-0000-0000-0000CB050000}"/>
    <cellStyle name="Normal 21 5 8 8" xfId="1482" xr:uid="{00000000-0005-0000-0000-0000CC050000}"/>
    <cellStyle name="Normal 21 5 9" xfId="1483" xr:uid="{00000000-0005-0000-0000-0000CD050000}"/>
    <cellStyle name="Normal 21 5 9 2" xfId="1484" xr:uid="{00000000-0005-0000-0000-0000CE050000}"/>
    <cellStyle name="Normal 21 5 9 3" xfId="1485" xr:uid="{00000000-0005-0000-0000-0000CF050000}"/>
    <cellStyle name="Normal 21 5 9 4" xfId="1486" xr:uid="{00000000-0005-0000-0000-0000D0050000}"/>
    <cellStyle name="Normal 21 5 9 5" xfId="1487" xr:uid="{00000000-0005-0000-0000-0000D1050000}"/>
    <cellStyle name="Normal 21 5 9 6" xfId="1488" xr:uid="{00000000-0005-0000-0000-0000D2050000}"/>
    <cellStyle name="Normal 21 5 9 7" xfId="1489" xr:uid="{00000000-0005-0000-0000-0000D3050000}"/>
    <cellStyle name="Normal 21 5 9 8" xfId="1490" xr:uid="{00000000-0005-0000-0000-0000D4050000}"/>
    <cellStyle name="Normal 21 6" xfId="1491" xr:uid="{00000000-0005-0000-0000-0000D5050000}"/>
    <cellStyle name="Normal 21 7" xfId="1492" xr:uid="{00000000-0005-0000-0000-0000D6050000}"/>
    <cellStyle name="Normal 21 8" xfId="1493" xr:uid="{00000000-0005-0000-0000-0000D7050000}"/>
    <cellStyle name="Normal 21 9" xfId="1494" xr:uid="{00000000-0005-0000-0000-0000D8050000}"/>
    <cellStyle name="Normal 22" xfId="1495" xr:uid="{00000000-0005-0000-0000-0000D9050000}"/>
    <cellStyle name="Normal 22 10" xfId="1496" xr:uid="{00000000-0005-0000-0000-0000DA050000}"/>
    <cellStyle name="Normal 22 11" xfId="1497" xr:uid="{00000000-0005-0000-0000-0000DB050000}"/>
    <cellStyle name="Normal 22 2" xfId="1498" xr:uid="{00000000-0005-0000-0000-0000DC050000}"/>
    <cellStyle name="Normal 22 3" xfId="1499" xr:uid="{00000000-0005-0000-0000-0000DD050000}"/>
    <cellStyle name="Normal 22 4" xfId="1500" xr:uid="{00000000-0005-0000-0000-0000DE050000}"/>
    <cellStyle name="Normal 22 5" xfId="1501" xr:uid="{00000000-0005-0000-0000-0000DF050000}"/>
    <cellStyle name="Normal 22 6" xfId="1502" xr:uid="{00000000-0005-0000-0000-0000E0050000}"/>
    <cellStyle name="Normal 22 7" xfId="1503" xr:uid="{00000000-0005-0000-0000-0000E1050000}"/>
    <cellStyle name="Normal 22 8" xfId="1504" xr:uid="{00000000-0005-0000-0000-0000E2050000}"/>
    <cellStyle name="Normal 22 9" xfId="1505" xr:uid="{00000000-0005-0000-0000-0000E3050000}"/>
    <cellStyle name="Normal 23" xfId="1506" xr:uid="{00000000-0005-0000-0000-0000E4050000}"/>
    <cellStyle name="Normal 23 2" xfId="1507" xr:uid="{00000000-0005-0000-0000-0000E5050000}"/>
    <cellStyle name="Normal 23 2 10" xfId="1508" xr:uid="{00000000-0005-0000-0000-0000E6050000}"/>
    <cellStyle name="Normal 23 2 10 2" xfId="1509" xr:uid="{00000000-0005-0000-0000-0000E7050000}"/>
    <cellStyle name="Normal 23 2 10 3" xfId="1510" xr:uid="{00000000-0005-0000-0000-0000E8050000}"/>
    <cellStyle name="Normal 23 2 10 4" xfId="1511" xr:uid="{00000000-0005-0000-0000-0000E9050000}"/>
    <cellStyle name="Normal 23 2 10 5" xfId="1512" xr:uid="{00000000-0005-0000-0000-0000EA050000}"/>
    <cellStyle name="Normal 23 2 10 6" xfId="1513" xr:uid="{00000000-0005-0000-0000-0000EB050000}"/>
    <cellStyle name="Normal 23 2 10 7" xfId="1514" xr:uid="{00000000-0005-0000-0000-0000EC050000}"/>
    <cellStyle name="Normal 23 2 10 8" xfId="1515" xr:uid="{00000000-0005-0000-0000-0000ED050000}"/>
    <cellStyle name="Normal 23 2 2" xfId="1516" xr:uid="{00000000-0005-0000-0000-0000EE050000}"/>
    <cellStyle name="Normal 23 2 2 10" xfId="1517" xr:uid="{00000000-0005-0000-0000-0000EF050000}"/>
    <cellStyle name="Normal 23 2 2 11" xfId="1518" xr:uid="{00000000-0005-0000-0000-0000F0050000}"/>
    <cellStyle name="Normal 23 2 2 12" xfId="1519" xr:uid="{00000000-0005-0000-0000-0000F1050000}"/>
    <cellStyle name="Normal 23 2 2 13" xfId="1520" xr:uid="{00000000-0005-0000-0000-0000F2050000}"/>
    <cellStyle name="Normal 23 2 2 14" xfId="1521" xr:uid="{00000000-0005-0000-0000-0000F3050000}"/>
    <cellStyle name="Normal 23 2 2 15" xfId="1522" xr:uid="{00000000-0005-0000-0000-0000F4050000}"/>
    <cellStyle name="Normal 23 2 2 16" xfId="1523" xr:uid="{00000000-0005-0000-0000-0000F5050000}"/>
    <cellStyle name="Normal 23 2 2 2" xfId="1524" xr:uid="{00000000-0005-0000-0000-0000F6050000}"/>
    <cellStyle name="Normal 23 2 2 3" xfId="1525" xr:uid="{00000000-0005-0000-0000-0000F7050000}"/>
    <cellStyle name="Normal 23 2 2 4" xfId="1526" xr:uid="{00000000-0005-0000-0000-0000F8050000}"/>
    <cellStyle name="Normal 23 2 2 5" xfId="1527" xr:uid="{00000000-0005-0000-0000-0000F9050000}"/>
    <cellStyle name="Normal 23 2 2 6" xfId="1528" xr:uid="{00000000-0005-0000-0000-0000FA050000}"/>
    <cellStyle name="Normal 23 2 2 7" xfId="1529" xr:uid="{00000000-0005-0000-0000-0000FB050000}"/>
    <cellStyle name="Normal 23 2 2 8" xfId="1530" xr:uid="{00000000-0005-0000-0000-0000FC050000}"/>
    <cellStyle name="Normal 23 2 2 9" xfId="1531" xr:uid="{00000000-0005-0000-0000-0000FD050000}"/>
    <cellStyle name="Normal 23 2 3" xfId="1532" xr:uid="{00000000-0005-0000-0000-0000FE050000}"/>
    <cellStyle name="Normal 23 2 4" xfId="1533" xr:uid="{00000000-0005-0000-0000-0000FF050000}"/>
    <cellStyle name="Normal 23 2 4 2" xfId="1534" xr:uid="{00000000-0005-0000-0000-000000060000}"/>
    <cellStyle name="Normal 23 2 4 3" xfId="1535" xr:uid="{00000000-0005-0000-0000-000001060000}"/>
    <cellStyle name="Normal 23 2 4 4" xfId="1536" xr:uid="{00000000-0005-0000-0000-000002060000}"/>
    <cellStyle name="Normal 23 2 4 5" xfId="1537" xr:uid="{00000000-0005-0000-0000-000003060000}"/>
    <cellStyle name="Normal 23 2 4 6" xfId="1538" xr:uid="{00000000-0005-0000-0000-000004060000}"/>
    <cellStyle name="Normal 23 2 4 7" xfId="1539" xr:uid="{00000000-0005-0000-0000-000005060000}"/>
    <cellStyle name="Normal 23 2 4 8" xfId="1540" xr:uid="{00000000-0005-0000-0000-000006060000}"/>
    <cellStyle name="Normal 23 2 5" xfId="1541" xr:uid="{00000000-0005-0000-0000-000007060000}"/>
    <cellStyle name="Normal 23 2 5 2" xfId="1542" xr:uid="{00000000-0005-0000-0000-000008060000}"/>
    <cellStyle name="Normal 23 2 5 3" xfId="1543" xr:uid="{00000000-0005-0000-0000-000009060000}"/>
    <cellStyle name="Normal 23 2 5 4" xfId="1544" xr:uid="{00000000-0005-0000-0000-00000A060000}"/>
    <cellStyle name="Normal 23 2 5 5" xfId="1545" xr:uid="{00000000-0005-0000-0000-00000B060000}"/>
    <cellStyle name="Normal 23 2 5 6" xfId="1546" xr:uid="{00000000-0005-0000-0000-00000C060000}"/>
    <cellStyle name="Normal 23 2 5 7" xfId="1547" xr:uid="{00000000-0005-0000-0000-00000D060000}"/>
    <cellStyle name="Normal 23 2 5 8" xfId="1548" xr:uid="{00000000-0005-0000-0000-00000E060000}"/>
    <cellStyle name="Normal 23 2 6" xfId="1549" xr:uid="{00000000-0005-0000-0000-00000F060000}"/>
    <cellStyle name="Normal 23 2 6 2" xfId="1550" xr:uid="{00000000-0005-0000-0000-000010060000}"/>
    <cellStyle name="Normal 23 2 6 3" xfId="1551" xr:uid="{00000000-0005-0000-0000-000011060000}"/>
    <cellStyle name="Normal 23 2 6 4" xfId="1552" xr:uid="{00000000-0005-0000-0000-000012060000}"/>
    <cellStyle name="Normal 23 2 6 5" xfId="1553" xr:uid="{00000000-0005-0000-0000-000013060000}"/>
    <cellStyle name="Normal 23 2 6 6" xfId="1554" xr:uid="{00000000-0005-0000-0000-000014060000}"/>
    <cellStyle name="Normal 23 2 6 7" xfId="1555" xr:uid="{00000000-0005-0000-0000-000015060000}"/>
    <cellStyle name="Normal 23 2 6 8" xfId="1556" xr:uid="{00000000-0005-0000-0000-000016060000}"/>
    <cellStyle name="Normal 23 2 7" xfId="1557" xr:uid="{00000000-0005-0000-0000-000017060000}"/>
    <cellStyle name="Normal 23 2 7 2" xfId="1558" xr:uid="{00000000-0005-0000-0000-000018060000}"/>
    <cellStyle name="Normal 23 2 7 3" xfId="1559" xr:uid="{00000000-0005-0000-0000-000019060000}"/>
    <cellStyle name="Normal 23 2 7 4" xfId="1560" xr:uid="{00000000-0005-0000-0000-00001A060000}"/>
    <cellStyle name="Normal 23 2 7 5" xfId="1561" xr:uid="{00000000-0005-0000-0000-00001B060000}"/>
    <cellStyle name="Normal 23 2 7 6" xfId="1562" xr:uid="{00000000-0005-0000-0000-00001C060000}"/>
    <cellStyle name="Normal 23 2 7 7" xfId="1563" xr:uid="{00000000-0005-0000-0000-00001D060000}"/>
    <cellStyle name="Normal 23 2 7 8" xfId="1564" xr:uid="{00000000-0005-0000-0000-00001E060000}"/>
    <cellStyle name="Normal 23 2 8" xfId="1565" xr:uid="{00000000-0005-0000-0000-00001F060000}"/>
    <cellStyle name="Normal 23 2 8 2" xfId="1566" xr:uid="{00000000-0005-0000-0000-000020060000}"/>
    <cellStyle name="Normal 23 2 8 3" xfId="1567" xr:uid="{00000000-0005-0000-0000-000021060000}"/>
    <cellStyle name="Normal 23 2 8 4" xfId="1568" xr:uid="{00000000-0005-0000-0000-000022060000}"/>
    <cellStyle name="Normal 23 2 8 5" xfId="1569" xr:uid="{00000000-0005-0000-0000-000023060000}"/>
    <cellStyle name="Normal 23 2 8 6" xfId="1570" xr:uid="{00000000-0005-0000-0000-000024060000}"/>
    <cellStyle name="Normal 23 2 8 7" xfId="1571" xr:uid="{00000000-0005-0000-0000-000025060000}"/>
    <cellStyle name="Normal 23 2 8 8" xfId="1572" xr:uid="{00000000-0005-0000-0000-000026060000}"/>
    <cellStyle name="Normal 23 2 9" xfId="1573" xr:uid="{00000000-0005-0000-0000-000027060000}"/>
    <cellStyle name="Normal 23 2 9 2" xfId="1574" xr:uid="{00000000-0005-0000-0000-000028060000}"/>
    <cellStyle name="Normal 23 2 9 3" xfId="1575" xr:uid="{00000000-0005-0000-0000-000029060000}"/>
    <cellStyle name="Normal 23 2 9 4" xfId="1576" xr:uid="{00000000-0005-0000-0000-00002A060000}"/>
    <cellStyle name="Normal 23 2 9 5" xfId="1577" xr:uid="{00000000-0005-0000-0000-00002B060000}"/>
    <cellStyle name="Normal 23 2 9 6" xfId="1578" xr:uid="{00000000-0005-0000-0000-00002C060000}"/>
    <cellStyle name="Normal 23 2 9 7" xfId="1579" xr:uid="{00000000-0005-0000-0000-00002D060000}"/>
    <cellStyle name="Normal 23 2 9 8" xfId="1580" xr:uid="{00000000-0005-0000-0000-00002E060000}"/>
    <cellStyle name="Normal 23 3" xfId="1581" xr:uid="{00000000-0005-0000-0000-00002F060000}"/>
    <cellStyle name="Normal 23 3 10" xfId="1582" xr:uid="{00000000-0005-0000-0000-000030060000}"/>
    <cellStyle name="Normal 23 3 10 2" xfId="1583" xr:uid="{00000000-0005-0000-0000-000031060000}"/>
    <cellStyle name="Normal 23 3 10 3" xfId="1584" xr:uid="{00000000-0005-0000-0000-000032060000}"/>
    <cellStyle name="Normal 23 3 10 4" xfId="1585" xr:uid="{00000000-0005-0000-0000-000033060000}"/>
    <cellStyle name="Normal 23 3 10 5" xfId="1586" xr:uid="{00000000-0005-0000-0000-000034060000}"/>
    <cellStyle name="Normal 23 3 10 6" xfId="1587" xr:uid="{00000000-0005-0000-0000-000035060000}"/>
    <cellStyle name="Normal 23 3 10 7" xfId="1588" xr:uid="{00000000-0005-0000-0000-000036060000}"/>
    <cellStyle name="Normal 23 3 10 8" xfId="1589" xr:uid="{00000000-0005-0000-0000-000037060000}"/>
    <cellStyle name="Normal 23 3 2" xfId="1590" xr:uid="{00000000-0005-0000-0000-000038060000}"/>
    <cellStyle name="Normal 23 3 2 10" xfId="1591" xr:uid="{00000000-0005-0000-0000-000039060000}"/>
    <cellStyle name="Normal 23 3 2 11" xfId="1592" xr:uid="{00000000-0005-0000-0000-00003A060000}"/>
    <cellStyle name="Normal 23 3 2 12" xfId="1593" xr:uid="{00000000-0005-0000-0000-00003B060000}"/>
    <cellStyle name="Normal 23 3 2 13" xfId="1594" xr:uid="{00000000-0005-0000-0000-00003C060000}"/>
    <cellStyle name="Normal 23 3 2 14" xfId="1595" xr:uid="{00000000-0005-0000-0000-00003D060000}"/>
    <cellStyle name="Normal 23 3 2 15" xfId="1596" xr:uid="{00000000-0005-0000-0000-00003E060000}"/>
    <cellStyle name="Normal 23 3 2 16" xfId="1597" xr:uid="{00000000-0005-0000-0000-00003F060000}"/>
    <cellStyle name="Normal 23 3 2 2" xfId="1598" xr:uid="{00000000-0005-0000-0000-000040060000}"/>
    <cellStyle name="Normal 23 3 2 3" xfId="1599" xr:uid="{00000000-0005-0000-0000-000041060000}"/>
    <cellStyle name="Normal 23 3 2 4" xfId="1600" xr:uid="{00000000-0005-0000-0000-000042060000}"/>
    <cellStyle name="Normal 23 3 2 5" xfId="1601" xr:uid="{00000000-0005-0000-0000-000043060000}"/>
    <cellStyle name="Normal 23 3 2 6" xfId="1602" xr:uid="{00000000-0005-0000-0000-000044060000}"/>
    <cellStyle name="Normal 23 3 2 7" xfId="1603" xr:uid="{00000000-0005-0000-0000-000045060000}"/>
    <cellStyle name="Normal 23 3 2 8" xfId="1604" xr:uid="{00000000-0005-0000-0000-000046060000}"/>
    <cellStyle name="Normal 23 3 2 9" xfId="1605" xr:uid="{00000000-0005-0000-0000-000047060000}"/>
    <cellStyle name="Normal 23 3 3" xfId="1606" xr:uid="{00000000-0005-0000-0000-000048060000}"/>
    <cellStyle name="Normal 23 3 4" xfId="1607" xr:uid="{00000000-0005-0000-0000-000049060000}"/>
    <cellStyle name="Normal 23 3 4 2" xfId="1608" xr:uid="{00000000-0005-0000-0000-00004A060000}"/>
    <cellStyle name="Normal 23 3 4 3" xfId="1609" xr:uid="{00000000-0005-0000-0000-00004B060000}"/>
    <cellStyle name="Normal 23 3 4 4" xfId="1610" xr:uid="{00000000-0005-0000-0000-00004C060000}"/>
    <cellStyle name="Normal 23 3 4 5" xfId="1611" xr:uid="{00000000-0005-0000-0000-00004D060000}"/>
    <cellStyle name="Normal 23 3 4 6" xfId="1612" xr:uid="{00000000-0005-0000-0000-00004E060000}"/>
    <cellStyle name="Normal 23 3 4 7" xfId="1613" xr:uid="{00000000-0005-0000-0000-00004F060000}"/>
    <cellStyle name="Normal 23 3 4 8" xfId="1614" xr:uid="{00000000-0005-0000-0000-000050060000}"/>
    <cellStyle name="Normal 23 3 5" xfId="1615" xr:uid="{00000000-0005-0000-0000-000051060000}"/>
    <cellStyle name="Normal 23 3 5 2" xfId="1616" xr:uid="{00000000-0005-0000-0000-000052060000}"/>
    <cellStyle name="Normal 23 3 5 3" xfId="1617" xr:uid="{00000000-0005-0000-0000-000053060000}"/>
    <cellStyle name="Normal 23 3 5 4" xfId="1618" xr:uid="{00000000-0005-0000-0000-000054060000}"/>
    <cellStyle name="Normal 23 3 5 5" xfId="1619" xr:uid="{00000000-0005-0000-0000-000055060000}"/>
    <cellStyle name="Normal 23 3 5 6" xfId="1620" xr:uid="{00000000-0005-0000-0000-000056060000}"/>
    <cellStyle name="Normal 23 3 5 7" xfId="1621" xr:uid="{00000000-0005-0000-0000-000057060000}"/>
    <cellStyle name="Normal 23 3 5 8" xfId="1622" xr:uid="{00000000-0005-0000-0000-000058060000}"/>
    <cellStyle name="Normal 23 3 6" xfId="1623" xr:uid="{00000000-0005-0000-0000-000059060000}"/>
    <cellStyle name="Normal 23 3 6 2" xfId="1624" xr:uid="{00000000-0005-0000-0000-00005A060000}"/>
    <cellStyle name="Normal 23 3 6 3" xfId="1625" xr:uid="{00000000-0005-0000-0000-00005B060000}"/>
    <cellStyle name="Normal 23 3 6 4" xfId="1626" xr:uid="{00000000-0005-0000-0000-00005C060000}"/>
    <cellStyle name="Normal 23 3 6 5" xfId="1627" xr:uid="{00000000-0005-0000-0000-00005D060000}"/>
    <cellStyle name="Normal 23 3 6 6" xfId="1628" xr:uid="{00000000-0005-0000-0000-00005E060000}"/>
    <cellStyle name="Normal 23 3 6 7" xfId="1629" xr:uid="{00000000-0005-0000-0000-00005F060000}"/>
    <cellStyle name="Normal 23 3 6 8" xfId="1630" xr:uid="{00000000-0005-0000-0000-000060060000}"/>
    <cellStyle name="Normal 23 3 7" xfId="1631" xr:uid="{00000000-0005-0000-0000-000061060000}"/>
    <cellStyle name="Normal 23 3 7 2" xfId="1632" xr:uid="{00000000-0005-0000-0000-000062060000}"/>
    <cellStyle name="Normal 23 3 7 3" xfId="1633" xr:uid="{00000000-0005-0000-0000-000063060000}"/>
    <cellStyle name="Normal 23 3 7 4" xfId="1634" xr:uid="{00000000-0005-0000-0000-000064060000}"/>
    <cellStyle name="Normal 23 3 7 5" xfId="1635" xr:uid="{00000000-0005-0000-0000-000065060000}"/>
    <cellStyle name="Normal 23 3 7 6" xfId="1636" xr:uid="{00000000-0005-0000-0000-000066060000}"/>
    <cellStyle name="Normal 23 3 7 7" xfId="1637" xr:uid="{00000000-0005-0000-0000-000067060000}"/>
    <cellStyle name="Normal 23 3 7 8" xfId="1638" xr:uid="{00000000-0005-0000-0000-000068060000}"/>
    <cellStyle name="Normal 23 3 8" xfId="1639" xr:uid="{00000000-0005-0000-0000-000069060000}"/>
    <cellStyle name="Normal 23 3 8 2" xfId="1640" xr:uid="{00000000-0005-0000-0000-00006A060000}"/>
    <cellStyle name="Normal 23 3 8 3" xfId="1641" xr:uid="{00000000-0005-0000-0000-00006B060000}"/>
    <cellStyle name="Normal 23 3 8 4" xfId="1642" xr:uid="{00000000-0005-0000-0000-00006C060000}"/>
    <cellStyle name="Normal 23 3 8 5" xfId="1643" xr:uid="{00000000-0005-0000-0000-00006D060000}"/>
    <cellStyle name="Normal 23 3 8 6" xfId="1644" xr:uid="{00000000-0005-0000-0000-00006E060000}"/>
    <cellStyle name="Normal 23 3 8 7" xfId="1645" xr:uid="{00000000-0005-0000-0000-00006F060000}"/>
    <cellStyle name="Normal 23 3 8 8" xfId="1646" xr:uid="{00000000-0005-0000-0000-000070060000}"/>
    <cellStyle name="Normal 23 3 9" xfId="1647" xr:uid="{00000000-0005-0000-0000-000071060000}"/>
    <cellStyle name="Normal 23 3 9 2" xfId="1648" xr:uid="{00000000-0005-0000-0000-000072060000}"/>
    <cellStyle name="Normal 23 3 9 3" xfId="1649" xr:uid="{00000000-0005-0000-0000-000073060000}"/>
    <cellStyle name="Normal 23 3 9 4" xfId="1650" xr:uid="{00000000-0005-0000-0000-000074060000}"/>
    <cellStyle name="Normal 23 3 9 5" xfId="1651" xr:uid="{00000000-0005-0000-0000-000075060000}"/>
    <cellStyle name="Normal 23 3 9 6" xfId="1652" xr:uid="{00000000-0005-0000-0000-000076060000}"/>
    <cellStyle name="Normal 23 3 9 7" xfId="1653" xr:uid="{00000000-0005-0000-0000-000077060000}"/>
    <cellStyle name="Normal 23 3 9 8" xfId="1654" xr:uid="{00000000-0005-0000-0000-000078060000}"/>
    <cellStyle name="Normal 24" xfId="1655" xr:uid="{00000000-0005-0000-0000-000079060000}"/>
    <cellStyle name="Normal 24 2" xfId="1656" xr:uid="{00000000-0005-0000-0000-00007A060000}"/>
    <cellStyle name="Normal 24 2 10" xfId="1657" xr:uid="{00000000-0005-0000-0000-00007B060000}"/>
    <cellStyle name="Normal 24 2 10 2" xfId="1658" xr:uid="{00000000-0005-0000-0000-00007C060000}"/>
    <cellStyle name="Normal 24 2 10 3" xfId="1659" xr:uid="{00000000-0005-0000-0000-00007D060000}"/>
    <cellStyle name="Normal 24 2 10 4" xfId="1660" xr:uid="{00000000-0005-0000-0000-00007E060000}"/>
    <cellStyle name="Normal 24 2 10 5" xfId="1661" xr:uid="{00000000-0005-0000-0000-00007F060000}"/>
    <cellStyle name="Normal 24 2 10 6" xfId="1662" xr:uid="{00000000-0005-0000-0000-000080060000}"/>
    <cellStyle name="Normal 24 2 10 7" xfId="1663" xr:uid="{00000000-0005-0000-0000-000081060000}"/>
    <cellStyle name="Normal 24 2 10 8" xfId="1664" xr:uid="{00000000-0005-0000-0000-000082060000}"/>
    <cellStyle name="Normal 24 2 2" xfId="1665" xr:uid="{00000000-0005-0000-0000-000083060000}"/>
    <cellStyle name="Normal 24 2 2 10" xfId="1666" xr:uid="{00000000-0005-0000-0000-000084060000}"/>
    <cellStyle name="Normal 24 2 2 11" xfId="1667" xr:uid="{00000000-0005-0000-0000-000085060000}"/>
    <cellStyle name="Normal 24 2 2 12" xfId="1668" xr:uid="{00000000-0005-0000-0000-000086060000}"/>
    <cellStyle name="Normal 24 2 2 13" xfId="1669" xr:uid="{00000000-0005-0000-0000-000087060000}"/>
    <cellStyle name="Normal 24 2 2 14" xfId="1670" xr:uid="{00000000-0005-0000-0000-000088060000}"/>
    <cellStyle name="Normal 24 2 2 15" xfId="1671" xr:uid="{00000000-0005-0000-0000-000089060000}"/>
    <cellStyle name="Normal 24 2 2 16" xfId="1672" xr:uid="{00000000-0005-0000-0000-00008A060000}"/>
    <cellStyle name="Normal 24 2 2 2" xfId="1673" xr:uid="{00000000-0005-0000-0000-00008B060000}"/>
    <cellStyle name="Normal 24 2 2 3" xfId="1674" xr:uid="{00000000-0005-0000-0000-00008C060000}"/>
    <cellStyle name="Normal 24 2 2 4" xfId="1675" xr:uid="{00000000-0005-0000-0000-00008D060000}"/>
    <cellStyle name="Normal 24 2 2 5" xfId="1676" xr:uid="{00000000-0005-0000-0000-00008E060000}"/>
    <cellStyle name="Normal 24 2 2 6" xfId="1677" xr:uid="{00000000-0005-0000-0000-00008F060000}"/>
    <cellStyle name="Normal 24 2 2 7" xfId="1678" xr:uid="{00000000-0005-0000-0000-000090060000}"/>
    <cellStyle name="Normal 24 2 2 8" xfId="1679" xr:uid="{00000000-0005-0000-0000-000091060000}"/>
    <cellStyle name="Normal 24 2 2 9" xfId="1680" xr:uid="{00000000-0005-0000-0000-000092060000}"/>
    <cellStyle name="Normal 24 2 3" xfId="1681" xr:uid="{00000000-0005-0000-0000-000093060000}"/>
    <cellStyle name="Normal 24 2 4" xfId="1682" xr:uid="{00000000-0005-0000-0000-000094060000}"/>
    <cellStyle name="Normal 24 2 4 2" xfId="1683" xr:uid="{00000000-0005-0000-0000-000095060000}"/>
    <cellStyle name="Normal 24 2 4 3" xfId="1684" xr:uid="{00000000-0005-0000-0000-000096060000}"/>
    <cellStyle name="Normal 24 2 4 4" xfId="1685" xr:uid="{00000000-0005-0000-0000-000097060000}"/>
    <cellStyle name="Normal 24 2 4 5" xfId="1686" xr:uid="{00000000-0005-0000-0000-000098060000}"/>
    <cellStyle name="Normal 24 2 4 6" xfId="1687" xr:uid="{00000000-0005-0000-0000-000099060000}"/>
    <cellStyle name="Normal 24 2 4 7" xfId="1688" xr:uid="{00000000-0005-0000-0000-00009A060000}"/>
    <cellStyle name="Normal 24 2 4 8" xfId="1689" xr:uid="{00000000-0005-0000-0000-00009B060000}"/>
    <cellStyle name="Normal 24 2 5" xfId="1690" xr:uid="{00000000-0005-0000-0000-00009C060000}"/>
    <cellStyle name="Normal 24 2 5 2" xfId="1691" xr:uid="{00000000-0005-0000-0000-00009D060000}"/>
    <cellStyle name="Normal 24 2 5 3" xfId="1692" xr:uid="{00000000-0005-0000-0000-00009E060000}"/>
    <cellStyle name="Normal 24 2 5 4" xfId="1693" xr:uid="{00000000-0005-0000-0000-00009F060000}"/>
    <cellStyle name="Normal 24 2 5 5" xfId="1694" xr:uid="{00000000-0005-0000-0000-0000A0060000}"/>
    <cellStyle name="Normal 24 2 5 6" xfId="1695" xr:uid="{00000000-0005-0000-0000-0000A1060000}"/>
    <cellStyle name="Normal 24 2 5 7" xfId="1696" xr:uid="{00000000-0005-0000-0000-0000A2060000}"/>
    <cellStyle name="Normal 24 2 5 8" xfId="1697" xr:uid="{00000000-0005-0000-0000-0000A3060000}"/>
    <cellStyle name="Normal 24 2 6" xfId="1698" xr:uid="{00000000-0005-0000-0000-0000A4060000}"/>
    <cellStyle name="Normal 24 2 6 2" xfId="1699" xr:uid="{00000000-0005-0000-0000-0000A5060000}"/>
    <cellStyle name="Normal 24 2 6 3" xfId="1700" xr:uid="{00000000-0005-0000-0000-0000A6060000}"/>
    <cellStyle name="Normal 24 2 6 4" xfId="1701" xr:uid="{00000000-0005-0000-0000-0000A7060000}"/>
    <cellStyle name="Normal 24 2 6 5" xfId="1702" xr:uid="{00000000-0005-0000-0000-0000A8060000}"/>
    <cellStyle name="Normal 24 2 6 6" xfId="1703" xr:uid="{00000000-0005-0000-0000-0000A9060000}"/>
    <cellStyle name="Normal 24 2 6 7" xfId="1704" xr:uid="{00000000-0005-0000-0000-0000AA060000}"/>
    <cellStyle name="Normal 24 2 6 8" xfId="1705" xr:uid="{00000000-0005-0000-0000-0000AB060000}"/>
    <cellStyle name="Normal 24 2 7" xfId="1706" xr:uid="{00000000-0005-0000-0000-0000AC060000}"/>
    <cellStyle name="Normal 24 2 7 2" xfId="1707" xr:uid="{00000000-0005-0000-0000-0000AD060000}"/>
    <cellStyle name="Normal 24 2 7 3" xfId="1708" xr:uid="{00000000-0005-0000-0000-0000AE060000}"/>
    <cellStyle name="Normal 24 2 7 4" xfId="1709" xr:uid="{00000000-0005-0000-0000-0000AF060000}"/>
    <cellStyle name="Normal 24 2 7 5" xfId="1710" xr:uid="{00000000-0005-0000-0000-0000B0060000}"/>
    <cellStyle name="Normal 24 2 7 6" xfId="1711" xr:uid="{00000000-0005-0000-0000-0000B1060000}"/>
    <cellStyle name="Normal 24 2 7 7" xfId="1712" xr:uid="{00000000-0005-0000-0000-0000B2060000}"/>
    <cellStyle name="Normal 24 2 7 8" xfId="1713" xr:uid="{00000000-0005-0000-0000-0000B3060000}"/>
    <cellStyle name="Normal 24 2 8" xfId="1714" xr:uid="{00000000-0005-0000-0000-0000B4060000}"/>
    <cellStyle name="Normal 24 2 8 2" xfId="1715" xr:uid="{00000000-0005-0000-0000-0000B5060000}"/>
    <cellStyle name="Normal 24 2 8 3" xfId="1716" xr:uid="{00000000-0005-0000-0000-0000B6060000}"/>
    <cellStyle name="Normal 24 2 8 4" xfId="1717" xr:uid="{00000000-0005-0000-0000-0000B7060000}"/>
    <cellStyle name="Normal 24 2 8 5" xfId="1718" xr:uid="{00000000-0005-0000-0000-0000B8060000}"/>
    <cellStyle name="Normal 24 2 8 6" xfId="1719" xr:uid="{00000000-0005-0000-0000-0000B9060000}"/>
    <cellStyle name="Normal 24 2 8 7" xfId="1720" xr:uid="{00000000-0005-0000-0000-0000BA060000}"/>
    <cellStyle name="Normal 24 2 8 8" xfId="1721" xr:uid="{00000000-0005-0000-0000-0000BB060000}"/>
    <cellStyle name="Normal 24 2 9" xfId="1722" xr:uid="{00000000-0005-0000-0000-0000BC060000}"/>
    <cellStyle name="Normal 24 2 9 2" xfId="1723" xr:uid="{00000000-0005-0000-0000-0000BD060000}"/>
    <cellStyle name="Normal 24 2 9 3" xfId="1724" xr:uid="{00000000-0005-0000-0000-0000BE060000}"/>
    <cellStyle name="Normal 24 2 9 4" xfId="1725" xr:uid="{00000000-0005-0000-0000-0000BF060000}"/>
    <cellStyle name="Normal 24 2 9 5" xfId="1726" xr:uid="{00000000-0005-0000-0000-0000C0060000}"/>
    <cellStyle name="Normal 24 2 9 6" xfId="1727" xr:uid="{00000000-0005-0000-0000-0000C1060000}"/>
    <cellStyle name="Normal 24 2 9 7" xfId="1728" xr:uid="{00000000-0005-0000-0000-0000C2060000}"/>
    <cellStyle name="Normal 24 2 9 8" xfId="1729" xr:uid="{00000000-0005-0000-0000-0000C3060000}"/>
    <cellStyle name="Normal 24 3" xfId="1730" xr:uid="{00000000-0005-0000-0000-0000C4060000}"/>
    <cellStyle name="Normal 24 3 10" xfId="1731" xr:uid="{00000000-0005-0000-0000-0000C5060000}"/>
    <cellStyle name="Normal 24 3 10 2" xfId="1732" xr:uid="{00000000-0005-0000-0000-0000C6060000}"/>
    <cellStyle name="Normal 24 3 10 3" xfId="1733" xr:uid="{00000000-0005-0000-0000-0000C7060000}"/>
    <cellStyle name="Normal 24 3 10 4" xfId="1734" xr:uid="{00000000-0005-0000-0000-0000C8060000}"/>
    <cellStyle name="Normal 24 3 10 5" xfId="1735" xr:uid="{00000000-0005-0000-0000-0000C9060000}"/>
    <cellStyle name="Normal 24 3 10 6" xfId="1736" xr:uid="{00000000-0005-0000-0000-0000CA060000}"/>
    <cellStyle name="Normal 24 3 10 7" xfId="1737" xr:uid="{00000000-0005-0000-0000-0000CB060000}"/>
    <cellStyle name="Normal 24 3 10 8" xfId="1738" xr:uid="{00000000-0005-0000-0000-0000CC060000}"/>
    <cellStyle name="Normal 24 3 2" xfId="1739" xr:uid="{00000000-0005-0000-0000-0000CD060000}"/>
    <cellStyle name="Normal 24 3 2 10" xfId="1740" xr:uid="{00000000-0005-0000-0000-0000CE060000}"/>
    <cellStyle name="Normal 24 3 2 11" xfId="1741" xr:uid="{00000000-0005-0000-0000-0000CF060000}"/>
    <cellStyle name="Normal 24 3 2 12" xfId="1742" xr:uid="{00000000-0005-0000-0000-0000D0060000}"/>
    <cellStyle name="Normal 24 3 2 13" xfId="1743" xr:uid="{00000000-0005-0000-0000-0000D1060000}"/>
    <cellStyle name="Normal 24 3 2 14" xfId="1744" xr:uid="{00000000-0005-0000-0000-0000D2060000}"/>
    <cellStyle name="Normal 24 3 2 15" xfId="1745" xr:uid="{00000000-0005-0000-0000-0000D3060000}"/>
    <cellStyle name="Normal 24 3 2 16" xfId="1746" xr:uid="{00000000-0005-0000-0000-0000D4060000}"/>
    <cellStyle name="Normal 24 3 2 2" xfId="1747" xr:uid="{00000000-0005-0000-0000-0000D5060000}"/>
    <cellStyle name="Normal 24 3 2 3" xfId="1748" xr:uid="{00000000-0005-0000-0000-0000D6060000}"/>
    <cellStyle name="Normal 24 3 2 4" xfId="1749" xr:uid="{00000000-0005-0000-0000-0000D7060000}"/>
    <cellStyle name="Normal 24 3 2 5" xfId="1750" xr:uid="{00000000-0005-0000-0000-0000D8060000}"/>
    <cellStyle name="Normal 24 3 2 6" xfId="1751" xr:uid="{00000000-0005-0000-0000-0000D9060000}"/>
    <cellStyle name="Normal 24 3 2 7" xfId="1752" xr:uid="{00000000-0005-0000-0000-0000DA060000}"/>
    <cellStyle name="Normal 24 3 2 8" xfId="1753" xr:uid="{00000000-0005-0000-0000-0000DB060000}"/>
    <cellStyle name="Normal 24 3 2 9" xfId="1754" xr:uid="{00000000-0005-0000-0000-0000DC060000}"/>
    <cellStyle name="Normal 24 3 3" xfId="1755" xr:uid="{00000000-0005-0000-0000-0000DD060000}"/>
    <cellStyle name="Normal 24 3 4" xfId="1756" xr:uid="{00000000-0005-0000-0000-0000DE060000}"/>
    <cellStyle name="Normal 24 3 4 2" xfId="1757" xr:uid="{00000000-0005-0000-0000-0000DF060000}"/>
    <cellStyle name="Normal 24 3 4 3" xfId="1758" xr:uid="{00000000-0005-0000-0000-0000E0060000}"/>
    <cellStyle name="Normal 24 3 4 4" xfId="1759" xr:uid="{00000000-0005-0000-0000-0000E1060000}"/>
    <cellStyle name="Normal 24 3 4 5" xfId="1760" xr:uid="{00000000-0005-0000-0000-0000E2060000}"/>
    <cellStyle name="Normal 24 3 4 6" xfId="1761" xr:uid="{00000000-0005-0000-0000-0000E3060000}"/>
    <cellStyle name="Normal 24 3 4 7" xfId="1762" xr:uid="{00000000-0005-0000-0000-0000E4060000}"/>
    <cellStyle name="Normal 24 3 4 8" xfId="1763" xr:uid="{00000000-0005-0000-0000-0000E5060000}"/>
    <cellStyle name="Normal 24 3 5" xfId="1764" xr:uid="{00000000-0005-0000-0000-0000E6060000}"/>
    <cellStyle name="Normal 24 3 5 2" xfId="1765" xr:uid="{00000000-0005-0000-0000-0000E7060000}"/>
    <cellStyle name="Normal 24 3 5 3" xfId="1766" xr:uid="{00000000-0005-0000-0000-0000E8060000}"/>
    <cellStyle name="Normal 24 3 5 4" xfId="1767" xr:uid="{00000000-0005-0000-0000-0000E9060000}"/>
    <cellStyle name="Normal 24 3 5 5" xfId="1768" xr:uid="{00000000-0005-0000-0000-0000EA060000}"/>
    <cellStyle name="Normal 24 3 5 6" xfId="1769" xr:uid="{00000000-0005-0000-0000-0000EB060000}"/>
    <cellStyle name="Normal 24 3 5 7" xfId="1770" xr:uid="{00000000-0005-0000-0000-0000EC060000}"/>
    <cellStyle name="Normal 24 3 5 8" xfId="1771" xr:uid="{00000000-0005-0000-0000-0000ED060000}"/>
    <cellStyle name="Normal 24 3 6" xfId="1772" xr:uid="{00000000-0005-0000-0000-0000EE060000}"/>
    <cellStyle name="Normal 24 3 6 2" xfId="1773" xr:uid="{00000000-0005-0000-0000-0000EF060000}"/>
    <cellStyle name="Normal 24 3 6 3" xfId="1774" xr:uid="{00000000-0005-0000-0000-0000F0060000}"/>
    <cellStyle name="Normal 24 3 6 4" xfId="1775" xr:uid="{00000000-0005-0000-0000-0000F1060000}"/>
    <cellStyle name="Normal 24 3 6 5" xfId="1776" xr:uid="{00000000-0005-0000-0000-0000F2060000}"/>
    <cellStyle name="Normal 24 3 6 6" xfId="1777" xr:uid="{00000000-0005-0000-0000-0000F3060000}"/>
    <cellStyle name="Normal 24 3 6 7" xfId="1778" xr:uid="{00000000-0005-0000-0000-0000F4060000}"/>
    <cellStyle name="Normal 24 3 6 8" xfId="1779" xr:uid="{00000000-0005-0000-0000-0000F5060000}"/>
    <cellStyle name="Normal 24 3 7" xfId="1780" xr:uid="{00000000-0005-0000-0000-0000F6060000}"/>
    <cellStyle name="Normal 24 3 7 2" xfId="1781" xr:uid="{00000000-0005-0000-0000-0000F7060000}"/>
    <cellStyle name="Normal 24 3 7 3" xfId="1782" xr:uid="{00000000-0005-0000-0000-0000F8060000}"/>
    <cellStyle name="Normal 24 3 7 4" xfId="1783" xr:uid="{00000000-0005-0000-0000-0000F9060000}"/>
    <cellStyle name="Normal 24 3 7 5" xfId="1784" xr:uid="{00000000-0005-0000-0000-0000FA060000}"/>
    <cellStyle name="Normal 24 3 7 6" xfId="1785" xr:uid="{00000000-0005-0000-0000-0000FB060000}"/>
    <cellStyle name="Normal 24 3 7 7" xfId="1786" xr:uid="{00000000-0005-0000-0000-0000FC060000}"/>
    <cellStyle name="Normal 24 3 7 8" xfId="1787" xr:uid="{00000000-0005-0000-0000-0000FD060000}"/>
    <cellStyle name="Normal 24 3 8" xfId="1788" xr:uid="{00000000-0005-0000-0000-0000FE060000}"/>
    <cellStyle name="Normal 24 3 8 2" xfId="1789" xr:uid="{00000000-0005-0000-0000-0000FF060000}"/>
    <cellStyle name="Normal 24 3 8 3" xfId="1790" xr:uid="{00000000-0005-0000-0000-000000070000}"/>
    <cellStyle name="Normal 24 3 8 4" xfId="1791" xr:uid="{00000000-0005-0000-0000-000001070000}"/>
    <cellStyle name="Normal 24 3 8 5" xfId="1792" xr:uid="{00000000-0005-0000-0000-000002070000}"/>
    <cellStyle name="Normal 24 3 8 6" xfId="1793" xr:uid="{00000000-0005-0000-0000-000003070000}"/>
    <cellStyle name="Normal 24 3 8 7" xfId="1794" xr:uid="{00000000-0005-0000-0000-000004070000}"/>
    <cellStyle name="Normal 24 3 8 8" xfId="1795" xr:uid="{00000000-0005-0000-0000-000005070000}"/>
    <cellStyle name="Normal 24 3 9" xfId="1796" xr:uid="{00000000-0005-0000-0000-000006070000}"/>
    <cellStyle name="Normal 24 3 9 2" xfId="1797" xr:uid="{00000000-0005-0000-0000-000007070000}"/>
    <cellStyle name="Normal 24 3 9 3" xfId="1798" xr:uid="{00000000-0005-0000-0000-000008070000}"/>
    <cellStyle name="Normal 24 3 9 4" xfId="1799" xr:uid="{00000000-0005-0000-0000-000009070000}"/>
    <cellStyle name="Normal 24 3 9 5" xfId="1800" xr:uid="{00000000-0005-0000-0000-00000A070000}"/>
    <cellStyle name="Normal 24 3 9 6" xfId="1801" xr:uid="{00000000-0005-0000-0000-00000B070000}"/>
    <cellStyle name="Normal 24 3 9 7" xfId="1802" xr:uid="{00000000-0005-0000-0000-00000C070000}"/>
    <cellStyle name="Normal 24 3 9 8" xfId="1803" xr:uid="{00000000-0005-0000-0000-00000D070000}"/>
    <cellStyle name="Normal 25" xfId="1804" xr:uid="{00000000-0005-0000-0000-00000E070000}"/>
    <cellStyle name="Normal 25 2" xfId="1805" xr:uid="{00000000-0005-0000-0000-00000F070000}"/>
    <cellStyle name="Normal 25 2 10" xfId="1806" xr:uid="{00000000-0005-0000-0000-000010070000}"/>
    <cellStyle name="Normal 25 2 10 2" xfId="1807" xr:uid="{00000000-0005-0000-0000-000011070000}"/>
    <cellStyle name="Normal 25 2 10 3" xfId="1808" xr:uid="{00000000-0005-0000-0000-000012070000}"/>
    <cellStyle name="Normal 25 2 10 4" xfId="1809" xr:uid="{00000000-0005-0000-0000-000013070000}"/>
    <cellStyle name="Normal 25 2 10 5" xfId="1810" xr:uid="{00000000-0005-0000-0000-000014070000}"/>
    <cellStyle name="Normal 25 2 10 6" xfId="1811" xr:uid="{00000000-0005-0000-0000-000015070000}"/>
    <cellStyle name="Normal 25 2 10 7" xfId="1812" xr:uid="{00000000-0005-0000-0000-000016070000}"/>
    <cellStyle name="Normal 25 2 10 8" xfId="1813" xr:uid="{00000000-0005-0000-0000-000017070000}"/>
    <cellStyle name="Normal 25 2 2" xfId="1814" xr:uid="{00000000-0005-0000-0000-000018070000}"/>
    <cellStyle name="Normal 25 2 2 10" xfId="1815" xr:uid="{00000000-0005-0000-0000-000019070000}"/>
    <cellStyle name="Normal 25 2 2 11" xfId="1816" xr:uid="{00000000-0005-0000-0000-00001A070000}"/>
    <cellStyle name="Normal 25 2 2 12" xfId="1817" xr:uid="{00000000-0005-0000-0000-00001B070000}"/>
    <cellStyle name="Normal 25 2 2 13" xfId="1818" xr:uid="{00000000-0005-0000-0000-00001C070000}"/>
    <cellStyle name="Normal 25 2 2 14" xfId="1819" xr:uid="{00000000-0005-0000-0000-00001D070000}"/>
    <cellStyle name="Normal 25 2 2 15" xfId="1820" xr:uid="{00000000-0005-0000-0000-00001E070000}"/>
    <cellStyle name="Normal 25 2 2 16" xfId="1821" xr:uid="{00000000-0005-0000-0000-00001F070000}"/>
    <cellStyle name="Normal 25 2 2 2" xfId="1822" xr:uid="{00000000-0005-0000-0000-000020070000}"/>
    <cellStyle name="Normal 25 2 2 3" xfId="1823" xr:uid="{00000000-0005-0000-0000-000021070000}"/>
    <cellStyle name="Normal 25 2 2 4" xfId="1824" xr:uid="{00000000-0005-0000-0000-000022070000}"/>
    <cellStyle name="Normal 25 2 2 5" xfId="1825" xr:uid="{00000000-0005-0000-0000-000023070000}"/>
    <cellStyle name="Normal 25 2 2 6" xfId="1826" xr:uid="{00000000-0005-0000-0000-000024070000}"/>
    <cellStyle name="Normal 25 2 2 7" xfId="1827" xr:uid="{00000000-0005-0000-0000-000025070000}"/>
    <cellStyle name="Normal 25 2 2 8" xfId="1828" xr:uid="{00000000-0005-0000-0000-000026070000}"/>
    <cellStyle name="Normal 25 2 2 9" xfId="1829" xr:uid="{00000000-0005-0000-0000-000027070000}"/>
    <cellStyle name="Normal 25 2 3" xfId="1830" xr:uid="{00000000-0005-0000-0000-000028070000}"/>
    <cellStyle name="Normal 25 2 4" xfId="1831" xr:uid="{00000000-0005-0000-0000-000029070000}"/>
    <cellStyle name="Normal 25 2 4 2" xfId="1832" xr:uid="{00000000-0005-0000-0000-00002A070000}"/>
    <cellStyle name="Normal 25 2 4 3" xfId="1833" xr:uid="{00000000-0005-0000-0000-00002B070000}"/>
    <cellStyle name="Normal 25 2 4 4" xfId="1834" xr:uid="{00000000-0005-0000-0000-00002C070000}"/>
    <cellStyle name="Normal 25 2 4 5" xfId="1835" xr:uid="{00000000-0005-0000-0000-00002D070000}"/>
    <cellStyle name="Normal 25 2 4 6" xfId="1836" xr:uid="{00000000-0005-0000-0000-00002E070000}"/>
    <cellStyle name="Normal 25 2 4 7" xfId="1837" xr:uid="{00000000-0005-0000-0000-00002F070000}"/>
    <cellStyle name="Normal 25 2 4 8" xfId="1838" xr:uid="{00000000-0005-0000-0000-000030070000}"/>
    <cellStyle name="Normal 25 2 5" xfId="1839" xr:uid="{00000000-0005-0000-0000-000031070000}"/>
    <cellStyle name="Normal 25 2 5 2" xfId="1840" xr:uid="{00000000-0005-0000-0000-000032070000}"/>
    <cellStyle name="Normal 25 2 5 3" xfId="1841" xr:uid="{00000000-0005-0000-0000-000033070000}"/>
    <cellStyle name="Normal 25 2 5 4" xfId="1842" xr:uid="{00000000-0005-0000-0000-000034070000}"/>
    <cellStyle name="Normal 25 2 5 5" xfId="1843" xr:uid="{00000000-0005-0000-0000-000035070000}"/>
    <cellStyle name="Normal 25 2 5 6" xfId="1844" xr:uid="{00000000-0005-0000-0000-000036070000}"/>
    <cellStyle name="Normal 25 2 5 7" xfId="1845" xr:uid="{00000000-0005-0000-0000-000037070000}"/>
    <cellStyle name="Normal 25 2 5 8" xfId="1846" xr:uid="{00000000-0005-0000-0000-000038070000}"/>
    <cellStyle name="Normal 25 2 6" xfId="1847" xr:uid="{00000000-0005-0000-0000-000039070000}"/>
    <cellStyle name="Normal 25 2 6 2" xfId="1848" xr:uid="{00000000-0005-0000-0000-00003A070000}"/>
    <cellStyle name="Normal 25 2 6 3" xfId="1849" xr:uid="{00000000-0005-0000-0000-00003B070000}"/>
    <cellStyle name="Normal 25 2 6 4" xfId="1850" xr:uid="{00000000-0005-0000-0000-00003C070000}"/>
    <cellStyle name="Normal 25 2 6 5" xfId="1851" xr:uid="{00000000-0005-0000-0000-00003D070000}"/>
    <cellStyle name="Normal 25 2 6 6" xfId="1852" xr:uid="{00000000-0005-0000-0000-00003E070000}"/>
    <cellStyle name="Normal 25 2 6 7" xfId="1853" xr:uid="{00000000-0005-0000-0000-00003F070000}"/>
    <cellStyle name="Normal 25 2 6 8" xfId="1854" xr:uid="{00000000-0005-0000-0000-000040070000}"/>
    <cellStyle name="Normal 25 2 7" xfId="1855" xr:uid="{00000000-0005-0000-0000-000041070000}"/>
    <cellStyle name="Normal 25 2 7 2" xfId="1856" xr:uid="{00000000-0005-0000-0000-000042070000}"/>
    <cellStyle name="Normal 25 2 7 3" xfId="1857" xr:uid="{00000000-0005-0000-0000-000043070000}"/>
    <cellStyle name="Normal 25 2 7 4" xfId="1858" xr:uid="{00000000-0005-0000-0000-000044070000}"/>
    <cellStyle name="Normal 25 2 7 5" xfId="1859" xr:uid="{00000000-0005-0000-0000-000045070000}"/>
    <cellStyle name="Normal 25 2 7 6" xfId="1860" xr:uid="{00000000-0005-0000-0000-000046070000}"/>
    <cellStyle name="Normal 25 2 7 7" xfId="1861" xr:uid="{00000000-0005-0000-0000-000047070000}"/>
    <cellStyle name="Normal 25 2 7 8" xfId="1862" xr:uid="{00000000-0005-0000-0000-000048070000}"/>
    <cellStyle name="Normal 25 2 8" xfId="1863" xr:uid="{00000000-0005-0000-0000-000049070000}"/>
    <cellStyle name="Normal 25 2 8 2" xfId="1864" xr:uid="{00000000-0005-0000-0000-00004A070000}"/>
    <cellStyle name="Normal 25 2 8 3" xfId="1865" xr:uid="{00000000-0005-0000-0000-00004B070000}"/>
    <cellStyle name="Normal 25 2 8 4" xfId="1866" xr:uid="{00000000-0005-0000-0000-00004C070000}"/>
    <cellStyle name="Normal 25 2 8 5" xfId="1867" xr:uid="{00000000-0005-0000-0000-00004D070000}"/>
    <cellStyle name="Normal 25 2 8 6" xfId="1868" xr:uid="{00000000-0005-0000-0000-00004E070000}"/>
    <cellStyle name="Normal 25 2 8 7" xfId="1869" xr:uid="{00000000-0005-0000-0000-00004F070000}"/>
    <cellStyle name="Normal 25 2 8 8" xfId="1870" xr:uid="{00000000-0005-0000-0000-000050070000}"/>
    <cellStyle name="Normal 25 2 9" xfId="1871" xr:uid="{00000000-0005-0000-0000-000051070000}"/>
    <cellStyle name="Normal 25 2 9 2" xfId="1872" xr:uid="{00000000-0005-0000-0000-000052070000}"/>
    <cellStyle name="Normal 25 2 9 3" xfId="1873" xr:uid="{00000000-0005-0000-0000-000053070000}"/>
    <cellStyle name="Normal 25 2 9 4" xfId="1874" xr:uid="{00000000-0005-0000-0000-000054070000}"/>
    <cellStyle name="Normal 25 2 9 5" xfId="1875" xr:uid="{00000000-0005-0000-0000-000055070000}"/>
    <cellStyle name="Normal 25 2 9 6" xfId="1876" xr:uid="{00000000-0005-0000-0000-000056070000}"/>
    <cellStyle name="Normal 25 2 9 7" xfId="1877" xr:uid="{00000000-0005-0000-0000-000057070000}"/>
    <cellStyle name="Normal 25 2 9 8" xfId="1878" xr:uid="{00000000-0005-0000-0000-000058070000}"/>
    <cellStyle name="Normal 25 3" xfId="1879" xr:uid="{00000000-0005-0000-0000-000059070000}"/>
    <cellStyle name="Normal 25 3 10" xfId="1880" xr:uid="{00000000-0005-0000-0000-00005A070000}"/>
    <cellStyle name="Normal 25 3 10 2" xfId="1881" xr:uid="{00000000-0005-0000-0000-00005B070000}"/>
    <cellStyle name="Normal 25 3 10 3" xfId="1882" xr:uid="{00000000-0005-0000-0000-00005C070000}"/>
    <cellStyle name="Normal 25 3 10 4" xfId="1883" xr:uid="{00000000-0005-0000-0000-00005D070000}"/>
    <cellStyle name="Normal 25 3 10 5" xfId="1884" xr:uid="{00000000-0005-0000-0000-00005E070000}"/>
    <cellStyle name="Normal 25 3 10 6" xfId="1885" xr:uid="{00000000-0005-0000-0000-00005F070000}"/>
    <cellStyle name="Normal 25 3 10 7" xfId="1886" xr:uid="{00000000-0005-0000-0000-000060070000}"/>
    <cellStyle name="Normal 25 3 10 8" xfId="1887" xr:uid="{00000000-0005-0000-0000-000061070000}"/>
    <cellStyle name="Normal 25 3 2" xfId="1888" xr:uid="{00000000-0005-0000-0000-000062070000}"/>
    <cellStyle name="Normal 25 3 2 10" xfId="1889" xr:uid="{00000000-0005-0000-0000-000063070000}"/>
    <cellStyle name="Normal 25 3 2 11" xfId="1890" xr:uid="{00000000-0005-0000-0000-000064070000}"/>
    <cellStyle name="Normal 25 3 2 12" xfId="1891" xr:uid="{00000000-0005-0000-0000-000065070000}"/>
    <cellStyle name="Normal 25 3 2 13" xfId="1892" xr:uid="{00000000-0005-0000-0000-000066070000}"/>
    <cellStyle name="Normal 25 3 2 14" xfId="1893" xr:uid="{00000000-0005-0000-0000-000067070000}"/>
    <cellStyle name="Normal 25 3 2 15" xfId="1894" xr:uid="{00000000-0005-0000-0000-000068070000}"/>
    <cellStyle name="Normal 25 3 2 16" xfId="1895" xr:uid="{00000000-0005-0000-0000-000069070000}"/>
    <cellStyle name="Normal 25 3 2 2" xfId="1896" xr:uid="{00000000-0005-0000-0000-00006A070000}"/>
    <cellStyle name="Normal 25 3 2 3" xfId="1897" xr:uid="{00000000-0005-0000-0000-00006B070000}"/>
    <cellStyle name="Normal 25 3 2 4" xfId="1898" xr:uid="{00000000-0005-0000-0000-00006C070000}"/>
    <cellStyle name="Normal 25 3 2 5" xfId="1899" xr:uid="{00000000-0005-0000-0000-00006D070000}"/>
    <cellStyle name="Normal 25 3 2 6" xfId="1900" xr:uid="{00000000-0005-0000-0000-00006E070000}"/>
    <cellStyle name="Normal 25 3 2 7" xfId="1901" xr:uid="{00000000-0005-0000-0000-00006F070000}"/>
    <cellStyle name="Normal 25 3 2 8" xfId="1902" xr:uid="{00000000-0005-0000-0000-000070070000}"/>
    <cellStyle name="Normal 25 3 2 9" xfId="1903" xr:uid="{00000000-0005-0000-0000-000071070000}"/>
    <cellStyle name="Normal 25 3 3" xfId="1904" xr:uid="{00000000-0005-0000-0000-000072070000}"/>
    <cellStyle name="Normal 25 3 4" xfId="1905" xr:uid="{00000000-0005-0000-0000-000073070000}"/>
    <cellStyle name="Normal 25 3 4 2" xfId="1906" xr:uid="{00000000-0005-0000-0000-000074070000}"/>
    <cellStyle name="Normal 25 3 4 3" xfId="1907" xr:uid="{00000000-0005-0000-0000-000075070000}"/>
    <cellStyle name="Normal 25 3 4 4" xfId="1908" xr:uid="{00000000-0005-0000-0000-000076070000}"/>
    <cellStyle name="Normal 25 3 4 5" xfId="1909" xr:uid="{00000000-0005-0000-0000-000077070000}"/>
    <cellStyle name="Normal 25 3 4 6" xfId="1910" xr:uid="{00000000-0005-0000-0000-000078070000}"/>
    <cellStyle name="Normal 25 3 4 7" xfId="1911" xr:uid="{00000000-0005-0000-0000-000079070000}"/>
    <cellStyle name="Normal 25 3 4 8" xfId="1912" xr:uid="{00000000-0005-0000-0000-00007A070000}"/>
    <cellStyle name="Normal 25 3 5" xfId="1913" xr:uid="{00000000-0005-0000-0000-00007B070000}"/>
    <cellStyle name="Normal 25 3 5 2" xfId="1914" xr:uid="{00000000-0005-0000-0000-00007C070000}"/>
    <cellStyle name="Normal 25 3 5 3" xfId="1915" xr:uid="{00000000-0005-0000-0000-00007D070000}"/>
    <cellStyle name="Normal 25 3 5 4" xfId="1916" xr:uid="{00000000-0005-0000-0000-00007E070000}"/>
    <cellStyle name="Normal 25 3 5 5" xfId="1917" xr:uid="{00000000-0005-0000-0000-00007F070000}"/>
    <cellStyle name="Normal 25 3 5 6" xfId="1918" xr:uid="{00000000-0005-0000-0000-000080070000}"/>
    <cellStyle name="Normal 25 3 5 7" xfId="1919" xr:uid="{00000000-0005-0000-0000-000081070000}"/>
    <cellStyle name="Normal 25 3 5 8" xfId="1920" xr:uid="{00000000-0005-0000-0000-000082070000}"/>
    <cellStyle name="Normal 25 3 6" xfId="1921" xr:uid="{00000000-0005-0000-0000-000083070000}"/>
    <cellStyle name="Normal 25 3 6 2" xfId="1922" xr:uid="{00000000-0005-0000-0000-000084070000}"/>
    <cellStyle name="Normal 25 3 6 3" xfId="1923" xr:uid="{00000000-0005-0000-0000-000085070000}"/>
    <cellStyle name="Normal 25 3 6 4" xfId="1924" xr:uid="{00000000-0005-0000-0000-000086070000}"/>
    <cellStyle name="Normal 25 3 6 5" xfId="1925" xr:uid="{00000000-0005-0000-0000-000087070000}"/>
    <cellStyle name="Normal 25 3 6 6" xfId="1926" xr:uid="{00000000-0005-0000-0000-000088070000}"/>
    <cellStyle name="Normal 25 3 6 7" xfId="1927" xr:uid="{00000000-0005-0000-0000-000089070000}"/>
    <cellStyle name="Normal 25 3 6 8" xfId="1928" xr:uid="{00000000-0005-0000-0000-00008A070000}"/>
    <cellStyle name="Normal 25 3 7" xfId="1929" xr:uid="{00000000-0005-0000-0000-00008B070000}"/>
    <cellStyle name="Normal 25 3 7 2" xfId="1930" xr:uid="{00000000-0005-0000-0000-00008C070000}"/>
    <cellStyle name="Normal 25 3 7 3" xfId="1931" xr:uid="{00000000-0005-0000-0000-00008D070000}"/>
    <cellStyle name="Normal 25 3 7 4" xfId="1932" xr:uid="{00000000-0005-0000-0000-00008E070000}"/>
    <cellStyle name="Normal 25 3 7 5" xfId="1933" xr:uid="{00000000-0005-0000-0000-00008F070000}"/>
    <cellStyle name="Normal 25 3 7 6" xfId="1934" xr:uid="{00000000-0005-0000-0000-000090070000}"/>
    <cellStyle name="Normal 25 3 7 7" xfId="1935" xr:uid="{00000000-0005-0000-0000-000091070000}"/>
    <cellStyle name="Normal 25 3 7 8" xfId="1936" xr:uid="{00000000-0005-0000-0000-000092070000}"/>
    <cellStyle name="Normal 25 3 8" xfId="1937" xr:uid="{00000000-0005-0000-0000-000093070000}"/>
    <cellStyle name="Normal 25 3 8 2" xfId="1938" xr:uid="{00000000-0005-0000-0000-000094070000}"/>
    <cellStyle name="Normal 25 3 8 3" xfId="1939" xr:uid="{00000000-0005-0000-0000-000095070000}"/>
    <cellStyle name="Normal 25 3 8 4" xfId="1940" xr:uid="{00000000-0005-0000-0000-000096070000}"/>
    <cellStyle name="Normal 25 3 8 5" xfId="1941" xr:uid="{00000000-0005-0000-0000-000097070000}"/>
    <cellStyle name="Normal 25 3 8 6" xfId="1942" xr:uid="{00000000-0005-0000-0000-000098070000}"/>
    <cellStyle name="Normal 25 3 8 7" xfId="1943" xr:uid="{00000000-0005-0000-0000-000099070000}"/>
    <cellStyle name="Normal 25 3 8 8" xfId="1944" xr:uid="{00000000-0005-0000-0000-00009A070000}"/>
    <cellStyle name="Normal 25 3 9" xfId="1945" xr:uid="{00000000-0005-0000-0000-00009B070000}"/>
    <cellStyle name="Normal 25 3 9 2" xfId="1946" xr:uid="{00000000-0005-0000-0000-00009C070000}"/>
    <cellStyle name="Normal 25 3 9 3" xfId="1947" xr:uid="{00000000-0005-0000-0000-00009D070000}"/>
    <cellStyle name="Normal 25 3 9 4" xfId="1948" xr:uid="{00000000-0005-0000-0000-00009E070000}"/>
    <cellStyle name="Normal 25 3 9 5" xfId="1949" xr:uid="{00000000-0005-0000-0000-00009F070000}"/>
    <cellStyle name="Normal 25 3 9 6" xfId="1950" xr:uid="{00000000-0005-0000-0000-0000A0070000}"/>
    <cellStyle name="Normal 25 3 9 7" xfId="1951" xr:uid="{00000000-0005-0000-0000-0000A1070000}"/>
    <cellStyle name="Normal 25 3 9 8" xfId="1952" xr:uid="{00000000-0005-0000-0000-0000A2070000}"/>
    <cellStyle name="Normal 26" xfId="1953" xr:uid="{00000000-0005-0000-0000-0000A3070000}"/>
    <cellStyle name="Normal 27" xfId="1954" xr:uid="{00000000-0005-0000-0000-0000A4070000}"/>
    <cellStyle name="Normal 27 10" xfId="1955" xr:uid="{00000000-0005-0000-0000-0000A5070000}"/>
    <cellStyle name="Normal 27 11" xfId="1956" xr:uid="{00000000-0005-0000-0000-0000A6070000}"/>
    <cellStyle name="Normal 27 2" xfId="1957" xr:uid="{00000000-0005-0000-0000-0000A7070000}"/>
    <cellStyle name="Normal 27 3" xfId="1958" xr:uid="{00000000-0005-0000-0000-0000A8070000}"/>
    <cellStyle name="Normal 27 4" xfId="1959" xr:uid="{00000000-0005-0000-0000-0000A9070000}"/>
    <cellStyle name="Normal 27 5" xfId="1960" xr:uid="{00000000-0005-0000-0000-0000AA070000}"/>
    <cellStyle name="Normal 27 6" xfId="1961" xr:uid="{00000000-0005-0000-0000-0000AB070000}"/>
    <cellStyle name="Normal 27 7" xfId="1962" xr:uid="{00000000-0005-0000-0000-0000AC070000}"/>
    <cellStyle name="Normal 27 8" xfId="1963" xr:uid="{00000000-0005-0000-0000-0000AD070000}"/>
    <cellStyle name="Normal 27 9" xfId="1964" xr:uid="{00000000-0005-0000-0000-0000AE070000}"/>
    <cellStyle name="Normal 28" xfId="1965" xr:uid="{00000000-0005-0000-0000-0000AF070000}"/>
    <cellStyle name="Normal 28 10" xfId="1966" xr:uid="{00000000-0005-0000-0000-0000B0070000}"/>
    <cellStyle name="Normal 28 11" xfId="1967" xr:uid="{00000000-0005-0000-0000-0000B1070000}"/>
    <cellStyle name="Normal 28 2" xfId="1968" xr:uid="{00000000-0005-0000-0000-0000B2070000}"/>
    <cellStyle name="Normal 28 3" xfId="1969" xr:uid="{00000000-0005-0000-0000-0000B3070000}"/>
    <cellStyle name="Normal 28 4" xfId="1970" xr:uid="{00000000-0005-0000-0000-0000B4070000}"/>
    <cellStyle name="Normal 28 5" xfId="1971" xr:uid="{00000000-0005-0000-0000-0000B5070000}"/>
    <cellStyle name="Normal 28 6" xfId="1972" xr:uid="{00000000-0005-0000-0000-0000B6070000}"/>
    <cellStyle name="Normal 28 7" xfId="1973" xr:uid="{00000000-0005-0000-0000-0000B7070000}"/>
    <cellStyle name="Normal 28 8" xfId="1974" xr:uid="{00000000-0005-0000-0000-0000B8070000}"/>
    <cellStyle name="Normal 28 9" xfId="1975" xr:uid="{00000000-0005-0000-0000-0000B9070000}"/>
    <cellStyle name="Normal 29" xfId="1976" xr:uid="{00000000-0005-0000-0000-0000BA070000}"/>
    <cellStyle name="Normal 29 10" xfId="1977" xr:uid="{00000000-0005-0000-0000-0000BB070000}"/>
    <cellStyle name="Normal 29 11" xfId="1978" xr:uid="{00000000-0005-0000-0000-0000BC070000}"/>
    <cellStyle name="Normal 29 2" xfId="1979" xr:uid="{00000000-0005-0000-0000-0000BD070000}"/>
    <cellStyle name="Normal 29 3" xfId="1980" xr:uid="{00000000-0005-0000-0000-0000BE070000}"/>
    <cellStyle name="Normal 29 4" xfId="1981" xr:uid="{00000000-0005-0000-0000-0000BF070000}"/>
    <cellStyle name="Normal 29 5" xfId="1982" xr:uid="{00000000-0005-0000-0000-0000C0070000}"/>
    <cellStyle name="Normal 29 6" xfId="1983" xr:uid="{00000000-0005-0000-0000-0000C1070000}"/>
    <cellStyle name="Normal 29 7" xfId="1984" xr:uid="{00000000-0005-0000-0000-0000C2070000}"/>
    <cellStyle name="Normal 29 8" xfId="1985" xr:uid="{00000000-0005-0000-0000-0000C3070000}"/>
    <cellStyle name="Normal 29 9" xfId="1986" xr:uid="{00000000-0005-0000-0000-0000C4070000}"/>
    <cellStyle name="Normal 3" xfId="1987" xr:uid="{00000000-0005-0000-0000-0000C5070000}"/>
    <cellStyle name="Normal 30" xfId="1988" xr:uid="{00000000-0005-0000-0000-0000C6070000}"/>
    <cellStyle name="Normal 31" xfId="1989" xr:uid="{00000000-0005-0000-0000-0000C7070000}"/>
    <cellStyle name="Normal 31 10" xfId="1990" xr:uid="{00000000-0005-0000-0000-0000C8070000}"/>
    <cellStyle name="Normal 31 11" xfId="1991" xr:uid="{00000000-0005-0000-0000-0000C9070000}"/>
    <cellStyle name="Normal 31 2" xfId="1992" xr:uid="{00000000-0005-0000-0000-0000CA070000}"/>
    <cellStyle name="Normal 31 3" xfId="1993" xr:uid="{00000000-0005-0000-0000-0000CB070000}"/>
    <cellStyle name="Normal 31 4" xfId="1994" xr:uid="{00000000-0005-0000-0000-0000CC070000}"/>
    <cellStyle name="Normal 31 5" xfId="1995" xr:uid="{00000000-0005-0000-0000-0000CD070000}"/>
    <cellStyle name="Normal 31 6" xfId="1996" xr:uid="{00000000-0005-0000-0000-0000CE070000}"/>
    <cellStyle name="Normal 31 7" xfId="1997" xr:uid="{00000000-0005-0000-0000-0000CF070000}"/>
    <cellStyle name="Normal 31 8" xfId="1998" xr:uid="{00000000-0005-0000-0000-0000D0070000}"/>
    <cellStyle name="Normal 31 9" xfId="1999" xr:uid="{00000000-0005-0000-0000-0000D1070000}"/>
    <cellStyle name="Normal 32" xfId="2000" xr:uid="{00000000-0005-0000-0000-0000D2070000}"/>
    <cellStyle name="Normal 32 10" xfId="2001" xr:uid="{00000000-0005-0000-0000-0000D3070000}"/>
    <cellStyle name="Normal 32 11" xfId="2002" xr:uid="{00000000-0005-0000-0000-0000D4070000}"/>
    <cellStyle name="Normal 32 2" xfId="2003" xr:uid="{00000000-0005-0000-0000-0000D5070000}"/>
    <cellStyle name="Normal 32 3" xfId="2004" xr:uid="{00000000-0005-0000-0000-0000D6070000}"/>
    <cellStyle name="Normal 32 4" xfId="2005" xr:uid="{00000000-0005-0000-0000-0000D7070000}"/>
    <cellStyle name="Normal 32 5" xfId="2006" xr:uid="{00000000-0005-0000-0000-0000D8070000}"/>
    <cellStyle name="Normal 32 6" xfId="2007" xr:uid="{00000000-0005-0000-0000-0000D9070000}"/>
    <cellStyle name="Normal 32 7" xfId="2008" xr:uid="{00000000-0005-0000-0000-0000DA070000}"/>
    <cellStyle name="Normal 32 8" xfId="2009" xr:uid="{00000000-0005-0000-0000-0000DB070000}"/>
    <cellStyle name="Normal 32 9" xfId="2010" xr:uid="{00000000-0005-0000-0000-0000DC070000}"/>
    <cellStyle name="Normal 33" xfId="2011" xr:uid="{00000000-0005-0000-0000-0000DD070000}"/>
    <cellStyle name="Normal 33 10" xfId="2012" xr:uid="{00000000-0005-0000-0000-0000DE070000}"/>
    <cellStyle name="Normal 33 11" xfId="2013" xr:uid="{00000000-0005-0000-0000-0000DF070000}"/>
    <cellStyle name="Normal 33 2" xfId="2014" xr:uid="{00000000-0005-0000-0000-0000E0070000}"/>
    <cellStyle name="Normal 33 3" xfId="2015" xr:uid="{00000000-0005-0000-0000-0000E1070000}"/>
    <cellStyle name="Normal 33 4" xfId="2016" xr:uid="{00000000-0005-0000-0000-0000E2070000}"/>
    <cellStyle name="Normal 33 5" xfId="2017" xr:uid="{00000000-0005-0000-0000-0000E3070000}"/>
    <cellStyle name="Normal 33 6" xfId="2018" xr:uid="{00000000-0005-0000-0000-0000E4070000}"/>
    <cellStyle name="Normal 33 7" xfId="2019" xr:uid="{00000000-0005-0000-0000-0000E5070000}"/>
    <cellStyle name="Normal 33 8" xfId="2020" xr:uid="{00000000-0005-0000-0000-0000E6070000}"/>
    <cellStyle name="Normal 33 9" xfId="2021" xr:uid="{00000000-0005-0000-0000-0000E7070000}"/>
    <cellStyle name="Normal 34" xfId="2022" xr:uid="{00000000-0005-0000-0000-0000E8070000}"/>
    <cellStyle name="Normal 35" xfId="2023" xr:uid="{00000000-0005-0000-0000-0000E9070000}"/>
    <cellStyle name="Normal 35 10" xfId="2024" xr:uid="{00000000-0005-0000-0000-0000EA070000}"/>
    <cellStyle name="Normal 35 11" xfId="2025" xr:uid="{00000000-0005-0000-0000-0000EB070000}"/>
    <cellStyle name="Normal 35 2" xfId="2026" xr:uid="{00000000-0005-0000-0000-0000EC070000}"/>
    <cellStyle name="Normal 35 3" xfId="2027" xr:uid="{00000000-0005-0000-0000-0000ED070000}"/>
    <cellStyle name="Normal 35 4" xfId="2028" xr:uid="{00000000-0005-0000-0000-0000EE070000}"/>
    <cellStyle name="Normal 35 5" xfId="2029" xr:uid="{00000000-0005-0000-0000-0000EF070000}"/>
    <cellStyle name="Normal 35 6" xfId="2030" xr:uid="{00000000-0005-0000-0000-0000F0070000}"/>
    <cellStyle name="Normal 35 7" xfId="2031" xr:uid="{00000000-0005-0000-0000-0000F1070000}"/>
    <cellStyle name="Normal 35 8" xfId="2032" xr:uid="{00000000-0005-0000-0000-0000F2070000}"/>
    <cellStyle name="Normal 35 9" xfId="2033" xr:uid="{00000000-0005-0000-0000-0000F3070000}"/>
    <cellStyle name="Normal 36" xfId="2034" xr:uid="{00000000-0005-0000-0000-0000F4070000}"/>
    <cellStyle name="Normal 36 10" xfId="2035" xr:uid="{00000000-0005-0000-0000-0000F5070000}"/>
    <cellStyle name="Normal 36 11" xfId="2036" xr:uid="{00000000-0005-0000-0000-0000F6070000}"/>
    <cellStyle name="Normal 36 2" xfId="2037" xr:uid="{00000000-0005-0000-0000-0000F7070000}"/>
    <cellStyle name="Normal 36 3" xfId="2038" xr:uid="{00000000-0005-0000-0000-0000F8070000}"/>
    <cellStyle name="Normal 36 4" xfId="2039" xr:uid="{00000000-0005-0000-0000-0000F9070000}"/>
    <cellStyle name="Normal 36 5" xfId="2040" xr:uid="{00000000-0005-0000-0000-0000FA070000}"/>
    <cellStyle name="Normal 36 6" xfId="2041" xr:uid="{00000000-0005-0000-0000-0000FB070000}"/>
    <cellStyle name="Normal 36 7" xfId="2042" xr:uid="{00000000-0005-0000-0000-0000FC070000}"/>
    <cellStyle name="Normal 36 8" xfId="2043" xr:uid="{00000000-0005-0000-0000-0000FD070000}"/>
    <cellStyle name="Normal 36 9" xfId="2044" xr:uid="{00000000-0005-0000-0000-0000FE070000}"/>
    <cellStyle name="Normal 37" xfId="2045" xr:uid="{00000000-0005-0000-0000-0000FF070000}"/>
    <cellStyle name="Normal 37 10" xfId="2046" xr:uid="{00000000-0005-0000-0000-000000080000}"/>
    <cellStyle name="Normal 37 11" xfId="2047" xr:uid="{00000000-0005-0000-0000-000001080000}"/>
    <cellStyle name="Normal 37 2" xfId="2048" xr:uid="{00000000-0005-0000-0000-000002080000}"/>
    <cellStyle name="Normal 37 3" xfId="2049" xr:uid="{00000000-0005-0000-0000-000003080000}"/>
    <cellStyle name="Normal 37 4" xfId="2050" xr:uid="{00000000-0005-0000-0000-000004080000}"/>
    <cellStyle name="Normal 37 5" xfId="2051" xr:uid="{00000000-0005-0000-0000-000005080000}"/>
    <cellStyle name="Normal 37 6" xfId="2052" xr:uid="{00000000-0005-0000-0000-000006080000}"/>
    <cellStyle name="Normal 37 7" xfId="2053" xr:uid="{00000000-0005-0000-0000-000007080000}"/>
    <cellStyle name="Normal 37 8" xfId="2054" xr:uid="{00000000-0005-0000-0000-000008080000}"/>
    <cellStyle name="Normal 37 9" xfId="2055" xr:uid="{00000000-0005-0000-0000-000009080000}"/>
    <cellStyle name="Normal 38" xfId="2056" xr:uid="{00000000-0005-0000-0000-00000A080000}"/>
    <cellStyle name="Normal 38 10" xfId="2057" xr:uid="{00000000-0005-0000-0000-00000B080000}"/>
    <cellStyle name="Normal 38 11" xfId="2058" xr:uid="{00000000-0005-0000-0000-00000C080000}"/>
    <cellStyle name="Normal 38 2" xfId="2059" xr:uid="{00000000-0005-0000-0000-00000D080000}"/>
    <cellStyle name="Normal 38 3" xfId="2060" xr:uid="{00000000-0005-0000-0000-00000E080000}"/>
    <cellStyle name="Normal 38 4" xfId="2061" xr:uid="{00000000-0005-0000-0000-00000F080000}"/>
    <cellStyle name="Normal 38 5" xfId="2062" xr:uid="{00000000-0005-0000-0000-000010080000}"/>
    <cellStyle name="Normal 38 6" xfId="2063" xr:uid="{00000000-0005-0000-0000-000011080000}"/>
    <cellStyle name="Normal 38 7" xfId="2064" xr:uid="{00000000-0005-0000-0000-000012080000}"/>
    <cellStyle name="Normal 38 8" xfId="2065" xr:uid="{00000000-0005-0000-0000-000013080000}"/>
    <cellStyle name="Normal 38 9" xfId="2066" xr:uid="{00000000-0005-0000-0000-000014080000}"/>
    <cellStyle name="Normal 39" xfId="2067" xr:uid="{00000000-0005-0000-0000-000015080000}"/>
    <cellStyle name="Normal 39 2" xfId="2068" xr:uid="{00000000-0005-0000-0000-000016080000}"/>
    <cellStyle name="Normal 39 2 10" xfId="2069" xr:uid="{00000000-0005-0000-0000-000017080000}"/>
    <cellStyle name="Normal 39 2 10 2" xfId="2070" xr:uid="{00000000-0005-0000-0000-000018080000}"/>
    <cellStyle name="Normal 39 2 10 3" xfId="2071" xr:uid="{00000000-0005-0000-0000-000019080000}"/>
    <cellStyle name="Normal 39 2 10 4" xfId="2072" xr:uid="{00000000-0005-0000-0000-00001A080000}"/>
    <cellStyle name="Normal 39 2 10 5" xfId="2073" xr:uid="{00000000-0005-0000-0000-00001B080000}"/>
    <cellStyle name="Normal 39 2 10 6" xfId="2074" xr:uid="{00000000-0005-0000-0000-00001C080000}"/>
    <cellStyle name="Normal 39 2 10 7" xfId="2075" xr:uid="{00000000-0005-0000-0000-00001D080000}"/>
    <cellStyle name="Normal 39 2 10 8" xfId="2076" xr:uid="{00000000-0005-0000-0000-00001E080000}"/>
    <cellStyle name="Normal 39 2 2" xfId="2077" xr:uid="{00000000-0005-0000-0000-00001F080000}"/>
    <cellStyle name="Normal 39 2 2 10" xfId="2078" xr:uid="{00000000-0005-0000-0000-000020080000}"/>
    <cellStyle name="Normal 39 2 2 11" xfId="2079" xr:uid="{00000000-0005-0000-0000-000021080000}"/>
    <cellStyle name="Normal 39 2 2 12" xfId="2080" xr:uid="{00000000-0005-0000-0000-000022080000}"/>
    <cellStyle name="Normal 39 2 2 13" xfId="2081" xr:uid="{00000000-0005-0000-0000-000023080000}"/>
    <cellStyle name="Normal 39 2 2 14" xfId="2082" xr:uid="{00000000-0005-0000-0000-000024080000}"/>
    <cellStyle name="Normal 39 2 2 15" xfId="2083" xr:uid="{00000000-0005-0000-0000-000025080000}"/>
    <cellStyle name="Normal 39 2 2 16" xfId="2084" xr:uid="{00000000-0005-0000-0000-000026080000}"/>
    <cellStyle name="Normal 39 2 2 2" xfId="2085" xr:uid="{00000000-0005-0000-0000-000027080000}"/>
    <cellStyle name="Normal 39 2 2 3" xfId="2086" xr:uid="{00000000-0005-0000-0000-000028080000}"/>
    <cellStyle name="Normal 39 2 2 4" xfId="2087" xr:uid="{00000000-0005-0000-0000-000029080000}"/>
    <cellStyle name="Normal 39 2 2 5" xfId="2088" xr:uid="{00000000-0005-0000-0000-00002A080000}"/>
    <cellStyle name="Normal 39 2 2 6" xfId="2089" xr:uid="{00000000-0005-0000-0000-00002B080000}"/>
    <cellStyle name="Normal 39 2 2 7" xfId="2090" xr:uid="{00000000-0005-0000-0000-00002C080000}"/>
    <cellStyle name="Normal 39 2 2 8" xfId="2091" xr:uid="{00000000-0005-0000-0000-00002D080000}"/>
    <cellStyle name="Normal 39 2 2 9" xfId="2092" xr:uid="{00000000-0005-0000-0000-00002E080000}"/>
    <cellStyle name="Normal 39 2 3" xfId="2093" xr:uid="{00000000-0005-0000-0000-00002F080000}"/>
    <cellStyle name="Normal 39 2 4" xfId="2094" xr:uid="{00000000-0005-0000-0000-000030080000}"/>
    <cellStyle name="Normal 39 2 4 2" xfId="2095" xr:uid="{00000000-0005-0000-0000-000031080000}"/>
    <cellStyle name="Normal 39 2 4 3" xfId="2096" xr:uid="{00000000-0005-0000-0000-000032080000}"/>
    <cellStyle name="Normal 39 2 4 4" xfId="2097" xr:uid="{00000000-0005-0000-0000-000033080000}"/>
    <cellStyle name="Normal 39 2 4 5" xfId="2098" xr:uid="{00000000-0005-0000-0000-000034080000}"/>
    <cellStyle name="Normal 39 2 4 6" xfId="2099" xr:uid="{00000000-0005-0000-0000-000035080000}"/>
    <cellStyle name="Normal 39 2 4 7" xfId="2100" xr:uid="{00000000-0005-0000-0000-000036080000}"/>
    <cellStyle name="Normal 39 2 4 8" xfId="2101" xr:uid="{00000000-0005-0000-0000-000037080000}"/>
    <cellStyle name="Normal 39 2 5" xfId="2102" xr:uid="{00000000-0005-0000-0000-000038080000}"/>
    <cellStyle name="Normal 39 2 5 2" xfId="2103" xr:uid="{00000000-0005-0000-0000-000039080000}"/>
    <cellStyle name="Normal 39 2 5 3" xfId="2104" xr:uid="{00000000-0005-0000-0000-00003A080000}"/>
    <cellStyle name="Normal 39 2 5 4" xfId="2105" xr:uid="{00000000-0005-0000-0000-00003B080000}"/>
    <cellStyle name="Normal 39 2 5 5" xfId="2106" xr:uid="{00000000-0005-0000-0000-00003C080000}"/>
    <cellStyle name="Normal 39 2 5 6" xfId="2107" xr:uid="{00000000-0005-0000-0000-00003D080000}"/>
    <cellStyle name="Normal 39 2 5 7" xfId="2108" xr:uid="{00000000-0005-0000-0000-00003E080000}"/>
    <cellStyle name="Normal 39 2 5 8" xfId="2109" xr:uid="{00000000-0005-0000-0000-00003F080000}"/>
    <cellStyle name="Normal 39 2 6" xfId="2110" xr:uid="{00000000-0005-0000-0000-000040080000}"/>
    <cellStyle name="Normal 39 2 6 2" xfId="2111" xr:uid="{00000000-0005-0000-0000-000041080000}"/>
    <cellStyle name="Normal 39 2 6 3" xfId="2112" xr:uid="{00000000-0005-0000-0000-000042080000}"/>
    <cellStyle name="Normal 39 2 6 4" xfId="2113" xr:uid="{00000000-0005-0000-0000-000043080000}"/>
    <cellStyle name="Normal 39 2 6 5" xfId="2114" xr:uid="{00000000-0005-0000-0000-000044080000}"/>
    <cellStyle name="Normal 39 2 6 6" xfId="2115" xr:uid="{00000000-0005-0000-0000-000045080000}"/>
    <cellStyle name="Normal 39 2 6 7" xfId="2116" xr:uid="{00000000-0005-0000-0000-000046080000}"/>
    <cellStyle name="Normal 39 2 6 8" xfId="2117" xr:uid="{00000000-0005-0000-0000-000047080000}"/>
    <cellStyle name="Normal 39 2 7" xfId="2118" xr:uid="{00000000-0005-0000-0000-000048080000}"/>
    <cellStyle name="Normal 39 2 7 2" xfId="2119" xr:uid="{00000000-0005-0000-0000-000049080000}"/>
    <cellStyle name="Normal 39 2 7 3" xfId="2120" xr:uid="{00000000-0005-0000-0000-00004A080000}"/>
    <cellStyle name="Normal 39 2 7 4" xfId="2121" xr:uid="{00000000-0005-0000-0000-00004B080000}"/>
    <cellStyle name="Normal 39 2 7 5" xfId="2122" xr:uid="{00000000-0005-0000-0000-00004C080000}"/>
    <cellStyle name="Normal 39 2 7 6" xfId="2123" xr:uid="{00000000-0005-0000-0000-00004D080000}"/>
    <cellStyle name="Normal 39 2 7 7" xfId="2124" xr:uid="{00000000-0005-0000-0000-00004E080000}"/>
    <cellStyle name="Normal 39 2 7 8" xfId="2125" xr:uid="{00000000-0005-0000-0000-00004F080000}"/>
    <cellStyle name="Normal 39 2 8" xfId="2126" xr:uid="{00000000-0005-0000-0000-000050080000}"/>
    <cellStyle name="Normal 39 2 8 2" xfId="2127" xr:uid="{00000000-0005-0000-0000-000051080000}"/>
    <cellStyle name="Normal 39 2 8 3" xfId="2128" xr:uid="{00000000-0005-0000-0000-000052080000}"/>
    <cellStyle name="Normal 39 2 8 4" xfId="2129" xr:uid="{00000000-0005-0000-0000-000053080000}"/>
    <cellStyle name="Normal 39 2 8 5" xfId="2130" xr:uid="{00000000-0005-0000-0000-000054080000}"/>
    <cellStyle name="Normal 39 2 8 6" xfId="2131" xr:uid="{00000000-0005-0000-0000-000055080000}"/>
    <cellStyle name="Normal 39 2 8 7" xfId="2132" xr:uid="{00000000-0005-0000-0000-000056080000}"/>
    <cellStyle name="Normal 39 2 8 8" xfId="2133" xr:uid="{00000000-0005-0000-0000-000057080000}"/>
    <cellStyle name="Normal 39 2 9" xfId="2134" xr:uid="{00000000-0005-0000-0000-000058080000}"/>
    <cellStyle name="Normal 39 2 9 2" xfId="2135" xr:uid="{00000000-0005-0000-0000-000059080000}"/>
    <cellStyle name="Normal 39 2 9 3" xfId="2136" xr:uid="{00000000-0005-0000-0000-00005A080000}"/>
    <cellStyle name="Normal 39 2 9 4" xfId="2137" xr:uid="{00000000-0005-0000-0000-00005B080000}"/>
    <cellStyle name="Normal 39 2 9 5" xfId="2138" xr:uid="{00000000-0005-0000-0000-00005C080000}"/>
    <cellStyle name="Normal 39 2 9 6" xfId="2139" xr:uid="{00000000-0005-0000-0000-00005D080000}"/>
    <cellStyle name="Normal 39 2 9 7" xfId="2140" xr:uid="{00000000-0005-0000-0000-00005E080000}"/>
    <cellStyle name="Normal 39 2 9 8" xfId="2141" xr:uid="{00000000-0005-0000-0000-00005F080000}"/>
    <cellStyle name="Normal 39 3" xfId="2142" xr:uid="{00000000-0005-0000-0000-000060080000}"/>
    <cellStyle name="Normal 39 3 10" xfId="2143" xr:uid="{00000000-0005-0000-0000-000061080000}"/>
    <cellStyle name="Normal 39 3 10 2" xfId="2144" xr:uid="{00000000-0005-0000-0000-000062080000}"/>
    <cellStyle name="Normal 39 3 10 3" xfId="2145" xr:uid="{00000000-0005-0000-0000-000063080000}"/>
    <cellStyle name="Normal 39 3 10 4" xfId="2146" xr:uid="{00000000-0005-0000-0000-000064080000}"/>
    <cellStyle name="Normal 39 3 10 5" xfId="2147" xr:uid="{00000000-0005-0000-0000-000065080000}"/>
    <cellStyle name="Normal 39 3 10 6" xfId="2148" xr:uid="{00000000-0005-0000-0000-000066080000}"/>
    <cellStyle name="Normal 39 3 10 7" xfId="2149" xr:uid="{00000000-0005-0000-0000-000067080000}"/>
    <cellStyle name="Normal 39 3 10 8" xfId="2150" xr:uid="{00000000-0005-0000-0000-000068080000}"/>
    <cellStyle name="Normal 39 3 2" xfId="2151" xr:uid="{00000000-0005-0000-0000-000069080000}"/>
    <cellStyle name="Normal 39 3 2 10" xfId="2152" xr:uid="{00000000-0005-0000-0000-00006A080000}"/>
    <cellStyle name="Normal 39 3 2 11" xfId="2153" xr:uid="{00000000-0005-0000-0000-00006B080000}"/>
    <cellStyle name="Normal 39 3 2 12" xfId="2154" xr:uid="{00000000-0005-0000-0000-00006C080000}"/>
    <cellStyle name="Normal 39 3 2 13" xfId="2155" xr:uid="{00000000-0005-0000-0000-00006D080000}"/>
    <cellStyle name="Normal 39 3 2 14" xfId="2156" xr:uid="{00000000-0005-0000-0000-00006E080000}"/>
    <cellStyle name="Normal 39 3 2 15" xfId="2157" xr:uid="{00000000-0005-0000-0000-00006F080000}"/>
    <cellStyle name="Normal 39 3 2 16" xfId="2158" xr:uid="{00000000-0005-0000-0000-000070080000}"/>
    <cellStyle name="Normal 39 3 2 2" xfId="2159" xr:uid="{00000000-0005-0000-0000-000071080000}"/>
    <cellStyle name="Normal 39 3 2 3" xfId="2160" xr:uid="{00000000-0005-0000-0000-000072080000}"/>
    <cellStyle name="Normal 39 3 2 4" xfId="2161" xr:uid="{00000000-0005-0000-0000-000073080000}"/>
    <cellStyle name="Normal 39 3 2 5" xfId="2162" xr:uid="{00000000-0005-0000-0000-000074080000}"/>
    <cellStyle name="Normal 39 3 2 6" xfId="2163" xr:uid="{00000000-0005-0000-0000-000075080000}"/>
    <cellStyle name="Normal 39 3 2 7" xfId="2164" xr:uid="{00000000-0005-0000-0000-000076080000}"/>
    <cellStyle name="Normal 39 3 2 8" xfId="2165" xr:uid="{00000000-0005-0000-0000-000077080000}"/>
    <cellStyle name="Normal 39 3 2 9" xfId="2166" xr:uid="{00000000-0005-0000-0000-000078080000}"/>
    <cellStyle name="Normal 39 3 3" xfId="2167" xr:uid="{00000000-0005-0000-0000-000079080000}"/>
    <cellStyle name="Normal 39 3 4" xfId="2168" xr:uid="{00000000-0005-0000-0000-00007A080000}"/>
    <cellStyle name="Normal 39 3 4 2" xfId="2169" xr:uid="{00000000-0005-0000-0000-00007B080000}"/>
    <cellStyle name="Normal 39 3 4 3" xfId="2170" xr:uid="{00000000-0005-0000-0000-00007C080000}"/>
    <cellStyle name="Normal 39 3 4 4" xfId="2171" xr:uid="{00000000-0005-0000-0000-00007D080000}"/>
    <cellStyle name="Normal 39 3 4 5" xfId="2172" xr:uid="{00000000-0005-0000-0000-00007E080000}"/>
    <cellStyle name="Normal 39 3 4 6" xfId="2173" xr:uid="{00000000-0005-0000-0000-00007F080000}"/>
    <cellStyle name="Normal 39 3 4 7" xfId="2174" xr:uid="{00000000-0005-0000-0000-000080080000}"/>
    <cellStyle name="Normal 39 3 4 8" xfId="2175" xr:uid="{00000000-0005-0000-0000-000081080000}"/>
    <cellStyle name="Normal 39 3 5" xfId="2176" xr:uid="{00000000-0005-0000-0000-000082080000}"/>
    <cellStyle name="Normal 39 3 5 2" xfId="2177" xr:uid="{00000000-0005-0000-0000-000083080000}"/>
    <cellStyle name="Normal 39 3 5 3" xfId="2178" xr:uid="{00000000-0005-0000-0000-000084080000}"/>
    <cellStyle name="Normal 39 3 5 4" xfId="2179" xr:uid="{00000000-0005-0000-0000-000085080000}"/>
    <cellStyle name="Normal 39 3 5 5" xfId="2180" xr:uid="{00000000-0005-0000-0000-000086080000}"/>
    <cellStyle name="Normal 39 3 5 6" xfId="2181" xr:uid="{00000000-0005-0000-0000-000087080000}"/>
    <cellStyle name="Normal 39 3 5 7" xfId="2182" xr:uid="{00000000-0005-0000-0000-000088080000}"/>
    <cellStyle name="Normal 39 3 5 8" xfId="2183" xr:uid="{00000000-0005-0000-0000-000089080000}"/>
    <cellStyle name="Normal 39 3 6" xfId="2184" xr:uid="{00000000-0005-0000-0000-00008A080000}"/>
    <cellStyle name="Normal 39 3 6 2" xfId="2185" xr:uid="{00000000-0005-0000-0000-00008B080000}"/>
    <cellStyle name="Normal 39 3 6 3" xfId="2186" xr:uid="{00000000-0005-0000-0000-00008C080000}"/>
    <cellStyle name="Normal 39 3 6 4" xfId="2187" xr:uid="{00000000-0005-0000-0000-00008D080000}"/>
    <cellStyle name="Normal 39 3 6 5" xfId="2188" xr:uid="{00000000-0005-0000-0000-00008E080000}"/>
    <cellStyle name="Normal 39 3 6 6" xfId="2189" xr:uid="{00000000-0005-0000-0000-00008F080000}"/>
    <cellStyle name="Normal 39 3 6 7" xfId="2190" xr:uid="{00000000-0005-0000-0000-000090080000}"/>
    <cellStyle name="Normal 39 3 6 8" xfId="2191" xr:uid="{00000000-0005-0000-0000-000091080000}"/>
    <cellStyle name="Normal 39 3 7" xfId="2192" xr:uid="{00000000-0005-0000-0000-000092080000}"/>
    <cellStyle name="Normal 39 3 7 2" xfId="2193" xr:uid="{00000000-0005-0000-0000-000093080000}"/>
    <cellStyle name="Normal 39 3 7 3" xfId="2194" xr:uid="{00000000-0005-0000-0000-000094080000}"/>
    <cellStyle name="Normal 39 3 7 4" xfId="2195" xr:uid="{00000000-0005-0000-0000-000095080000}"/>
    <cellStyle name="Normal 39 3 7 5" xfId="2196" xr:uid="{00000000-0005-0000-0000-000096080000}"/>
    <cellStyle name="Normal 39 3 7 6" xfId="2197" xr:uid="{00000000-0005-0000-0000-000097080000}"/>
    <cellStyle name="Normal 39 3 7 7" xfId="2198" xr:uid="{00000000-0005-0000-0000-000098080000}"/>
    <cellStyle name="Normal 39 3 7 8" xfId="2199" xr:uid="{00000000-0005-0000-0000-000099080000}"/>
    <cellStyle name="Normal 39 3 8" xfId="2200" xr:uid="{00000000-0005-0000-0000-00009A080000}"/>
    <cellStyle name="Normal 39 3 8 2" xfId="2201" xr:uid="{00000000-0005-0000-0000-00009B080000}"/>
    <cellStyle name="Normal 39 3 8 3" xfId="2202" xr:uid="{00000000-0005-0000-0000-00009C080000}"/>
    <cellStyle name="Normal 39 3 8 4" xfId="2203" xr:uid="{00000000-0005-0000-0000-00009D080000}"/>
    <cellStyle name="Normal 39 3 8 5" xfId="2204" xr:uid="{00000000-0005-0000-0000-00009E080000}"/>
    <cellStyle name="Normal 39 3 8 6" xfId="2205" xr:uid="{00000000-0005-0000-0000-00009F080000}"/>
    <cellStyle name="Normal 39 3 8 7" xfId="2206" xr:uid="{00000000-0005-0000-0000-0000A0080000}"/>
    <cellStyle name="Normal 39 3 8 8" xfId="2207" xr:uid="{00000000-0005-0000-0000-0000A1080000}"/>
    <cellStyle name="Normal 39 3 9" xfId="2208" xr:uid="{00000000-0005-0000-0000-0000A2080000}"/>
    <cellStyle name="Normal 39 3 9 2" xfId="2209" xr:uid="{00000000-0005-0000-0000-0000A3080000}"/>
    <cellStyle name="Normal 39 3 9 3" xfId="2210" xr:uid="{00000000-0005-0000-0000-0000A4080000}"/>
    <cellStyle name="Normal 39 3 9 4" xfId="2211" xr:uid="{00000000-0005-0000-0000-0000A5080000}"/>
    <cellStyle name="Normal 39 3 9 5" xfId="2212" xr:uid="{00000000-0005-0000-0000-0000A6080000}"/>
    <cellStyle name="Normal 39 3 9 6" xfId="2213" xr:uid="{00000000-0005-0000-0000-0000A7080000}"/>
    <cellStyle name="Normal 39 3 9 7" xfId="2214" xr:uid="{00000000-0005-0000-0000-0000A8080000}"/>
    <cellStyle name="Normal 39 3 9 8" xfId="2215" xr:uid="{00000000-0005-0000-0000-0000A9080000}"/>
    <cellStyle name="Normal 4" xfId="2216" xr:uid="{00000000-0005-0000-0000-0000AA080000}"/>
    <cellStyle name="Normal 4 2" xfId="2217" xr:uid="{00000000-0005-0000-0000-0000AB080000}"/>
    <cellStyle name="Normal 4 2 10" xfId="2218" xr:uid="{00000000-0005-0000-0000-0000AC080000}"/>
    <cellStyle name="Normal 4 2 2" xfId="2219" xr:uid="{00000000-0005-0000-0000-0000AD080000}"/>
    <cellStyle name="Normal 4 2 3" xfId="2220" xr:uid="{00000000-0005-0000-0000-0000AE080000}"/>
    <cellStyle name="Normal 4 2 4" xfId="2221" xr:uid="{00000000-0005-0000-0000-0000AF080000}"/>
    <cellStyle name="Normal 4 2 5" xfId="2222" xr:uid="{00000000-0005-0000-0000-0000B0080000}"/>
    <cellStyle name="Normal 4 2 6" xfId="2223" xr:uid="{00000000-0005-0000-0000-0000B1080000}"/>
    <cellStyle name="Normal 4 2 7" xfId="2224" xr:uid="{00000000-0005-0000-0000-0000B2080000}"/>
    <cellStyle name="Normal 4 2 8" xfId="2225" xr:uid="{00000000-0005-0000-0000-0000B3080000}"/>
    <cellStyle name="Normal 4 2 9" xfId="2226" xr:uid="{00000000-0005-0000-0000-0000B4080000}"/>
    <cellStyle name="Normal 4 3" xfId="2227" xr:uid="{00000000-0005-0000-0000-0000B5080000}"/>
    <cellStyle name="Normal 4 3 10" xfId="2228" xr:uid="{00000000-0005-0000-0000-0000B6080000}"/>
    <cellStyle name="Normal 4 3 2" xfId="2229" xr:uid="{00000000-0005-0000-0000-0000B7080000}"/>
    <cellStyle name="Normal 4 3 3" xfId="2230" xr:uid="{00000000-0005-0000-0000-0000B8080000}"/>
    <cellStyle name="Normal 4 3 4" xfId="2231" xr:uid="{00000000-0005-0000-0000-0000B9080000}"/>
    <cellStyle name="Normal 4 3 5" xfId="2232" xr:uid="{00000000-0005-0000-0000-0000BA080000}"/>
    <cellStyle name="Normal 4 3 6" xfId="2233" xr:uid="{00000000-0005-0000-0000-0000BB080000}"/>
    <cellStyle name="Normal 4 3 7" xfId="2234" xr:uid="{00000000-0005-0000-0000-0000BC080000}"/>
    <cellStyle name="Normal 4 3 8" xfId="2235" xr:uid="{00000000-0005-0000-0000-0000BD080000}"/>
    <cellStyle name="Normal 4 3 9" xfId="2236" xr:uid="{00000000-0005-0000-0000-0000BE080000}"/>
    <cellStyle name="Normal 4 4" xfId="2237" xr:uid="{00000000-0005-0000-0000-0000BF080000}"/>
    <cellStyle name="Normal 4 4 10" xfId="2238" xr:uid="{00000000-0005-0000-0000-0000C0080000}"/>
    <cellStyle name="Normal 4 4 2" xfId="2239" xr:uid="{00000000-0005-0000-0000-0000C1080000}"/>
    <cellStyle name="Normal 4 4 3" xfId="2240" xr:uid="{00000000-0005-0000-0000-0000C2080000}"/>
    <cellStyle name="Normal 4 4 4" xfId="2241" xr:uid="{00000000-0005-0000-0000-0000C3080000}"/>
    <cellStyle name="Normal 4 4 5" xfId="2242" xr:uid="{00000000-0005-0000-0000-0000C4080000}"/>
    <cellStyle name="Normal 4 4 6" xfId="2243" xr:uid="{00000000-0005-0000-0000-0000C5080000}"/>
    <cellStyle name="Normal 4 4 7" xfId="2244" xr:uid="{00000000-0005-0000-0000-0000C6080000}"/>
    <cellStyle name="Normal 4 4 8" xfId="2245" xr:uid="{00000000-0005-0000-0000-0000C7080000}"/>
    <cellStyle name="Normal 4 4 9" xfId="2246" xr:uid="{00000000-0005-0000-0000-0000C8080000}"/>
    <cellStyle name="Normal 4 5" xfId="2247" xr:uid="{00000000-0005-0000-0000-0000C9080000}"/>
    <cellStyle name="Normal 4 5 10" xfId="2248" xr:uid="{00000000-0005-0000-0000-0000CA080000}"/>
    <cellStyle name="Normal 4 5 2" xfId="2249" xr:uid="{00000000-0005-0000-0000-0000CB080000}"/>
    <cellStyle name="Normal 4 5 3" xfId="2250" xr:uid="{00000000-0005-0000-0000-0000CC080000}"/>
    <cellStyle name="Normal 4 5 4" xfId="2251" xr:uid="{00000000-0005-0000-0000-0000CD080000}"/>
    <cellStyle name="Normal 4 5 5" xfId="2252" xr:uid="{00000000-0005-0000-0000-0000CE080000}"/>
    <cellStyle name="Normal 4 5 6" xfId="2253" xr:uid="{00000000-0005-0000-0000-0000CF080000}"/>
    <cellStyle name="Normal 4 5 7" xfId="2254" xr:uid="{00000000-0005-0000-0000-0000D0080000}"/>
    <cellStyle name="Normal 4 5 8" xfId="2255" xr:uid="{00000000-0005-0000-0000-0000D1080000}"/>
    <cellStyle name="Normal 4 5 9" xfId="2256" xr:uid="{00000000-0005-0000-0000-0000D2080000}"/>
    <cellStyle name="Normal 4 6" xfId="2257" xr:uid="{00000000-0005-0000-0000-0000D3080000}"/>
    <cellStyle name="Normal 4 6 2" xfId="2258" xr:uid="{00000000-0005-0000-0000-0000D4080000}"/>
    <cellStyle name="Normal 4 6 3" xfId="2259" xr:uid="{00000000-0005-0000-0000-0000D5080000}"/>
    <cellStyle name="Normal 4 6 4" xfId="2260" xr:uid="{00000000-0005-0000-0000-0000D6080000}"/>
    <cellStyle name="Normal 4 6 5" xfId="2261" xr:uid="{00000000-0005-0000-0000-0000D7080000}"/>
    <cellStyle name="Normal 4 6 6" xfId="2262" xr:uid="{00000000-0005-0000-0000-0000D8080000}"/>
    <cellStyle name="Normal 4 6 7" xfId="2263" xr:uid="{00000000-0005-0000-0000-0000D9080000}"/>
    <cellStyle name="Normal 4 6 8" xfId="2264" xr:uid="{00000000-0005-0000-0000-0000DA080000}"/>
    <cellStyle name="Normal 4 6 9" xfId="2265" xr:uid="{00000000-0005-0000-0000-0000DB080000}"/>
    <cellStyle name="Normal 4 7" xfId="2266" xr:uid="{00000000-0005-0000-0000-0000DC080000}"/>
    <cellStyle name="Normal 4 7 2" xfId="2267" xr:uid="{00000000-0005-0000-0000-0000DD080000}"/>
    <cellStyle name="Normal 4 7 3" xfId="2268" xr:uid="{00000000-0005-0000-0000-0000DE080000}"/>
    <cellStyle name="Normal 4 7 4" xfId="2269" xr:uid="{00000000-0005-0000-0000-0000DF080000}"/>
    <cellStyle name="Normal 4 7 5" xfId="2270" xr:uid="{00000000-0005-0000-0000-0000E0080000}"/>
    <cellStyle name="Normal 4 7 6" xfId="2271" xr:uid="{00000000-0005-0000-0000-0000E1080000}"/>
    <cellStyle name="Normal 4 7 7" xfId="2272" xr:uid="{00000000-0005-0000-0000-0000E2080000}"/>
    <cellStyle name="Normal 4 7 8" xfId="2273" xr:uid="{00000000-0005-0000-0000-0000E3080000}"/>
    <cellStyle name="Normal 4 7 9" xfId="2274" xr:uid="{00000000-0005-0000-0000-0000E4080000}"/>
    <cellStyle name="Normal 4 8" xfId="2275" xr:uid="{00000000-0005-0000-0000-0000E5080000}"/>
    <cellStyle name="Normal 4 9" xfId="2276" xr:uid="{00000000-0005-0000-0000-0000E6080000}"/>
    <cellStyle name="Normal 40" xfId="2277" xr:uid="{00000000-0005-0000-0000-0000E7080000}"/>
    <cellStyle name="Normal 40 2" xfId="2278" xr:uid="{00000000-0005-0000-0000-0000E8080000}"/>
    <cellStyle name="Normal 40 2 10" xfId="2279" xr:uid="{00000000-0005-0000-0000-0000E9080000}"/>
    <cellStyle name="Normal 40 2 10 2" xfId="2280" xr:uid="{00000000-0005-0000-0000-0000EA080000}"/>
    <cellStyle name="Normal 40 2 10 3" xfId="2281" xr:uid="{00000000-0005-0000-0000-0000EB080000}"/>
    <cellStyle name="Normal 40 2 10 4" xfId="2282" xr:uid="{00000000-0005-0000-0000-0000EC080000}"/>
    <cellStyle name="Normal 40 2 10 5" xfId="2283" xr:uid="{00000000-0005-0000-0000-0000ED080000}"/>
    <cellStyle name="Normal 40 2 10 6" xfId="2284" xr:uid="{00000000-0005-0000-0000-0000EE080000}"/>
    <cellStyle name="Normal 40 2 10 7" xfId="2285" xr:uid="{00000000-0005-0000-0000-0000EF080000}"/>
    <cellStyle name="Normal 40 2 10 8" xfId="2286" xr:uid="{00000000-0005-0000-0000-0000F0080000}"/>
    <cellStyle name="Normal 40 2 2" xfId="2287" xr:uid="{00000000-0005-0000-0000-0000F1080000}"/>
    <cellStyle name="Normal 40 2 2 10" xfId="2288" xr:uid="{00000000-0005-0000-0000-0000F2080000}"/>
    <cellStyle name="Normal 40 2 2 11" xfId="2289" xr:uid="{00000000-0005-0000-0000-0000F3080000}"/>
    <cellStyle name="Normal 40 2 2 12" xfId="2290" xr:uid="{00000000-0005-0000-0000-0000F4080000}"/>
    <cellStyle name="Normal 40 2 2 13" xfId="2291" xr:uid="{00000000-0005-0000-0000-0000F5080000}"/>
    <cellStyle name="Normal 40 2 2 14" xfId="2292" xr:uid="{00000000-0005-0000-0000-0000F6080000}"/>
    <cellStyle name="Normal 40 2 2 15" xfId="2293" xr:uid="{00000000-0005-0000-0000-0000F7080000}"/>
    <cellStyle name="Normal 40 2 2 16" xfId="2294" xr:uid="{00000000-0005-0000-0000-0000F8080000}"/>
    <cellStyle name="Normal 40 2 2 2" xfId="2295" xr:uid="{00000000-0005-0000-0000-0000F9080000}"/>
    <cellStyle name="Normal 40 2 2 3" xfId="2296" xr:uid="{00000000-0005-0000-0000-0000FA080000}"/>
    <cellStyle name="Normal 40 2 2 4" xfId="2297" xr:uid="{00000000-0005-0000-0000-0000FB080000}"/>
    <cellStyle name="Normal 40 2 2 5" xfId="2298" xr:uid="{00000000-0005-0000-0000-0000FC080000}"/>
    <cellStyle name="Normal 40 2 2 6" xfId="2299" xr:uid="{00000000-0005-0000-0000-0000FD080000}"/>
    <cellStyle name="Normal 40 2 2 7" xfId="2300" xr:uid="{00000000-0005-0000-0000-0000FE080000}"/>
    <cellStyle name="Normal 40 2 2 8" xfId="2301" xr:uid="{00000000-0005-0000-0000-0000FF080000}"/>
    <cellStyle name="Normal 40 2 2 9" xfId="2302" xr:uid="{00000000-0005-0000-0000-000000090000}"/>
    <cellStyle name="Normal 40 2 3" xfId="2303" xr:uid="{00000000-0005-0000-0000-000001090000}"/>
    <cellStyle name="Normal 40 2 4" xfId="2304" xr:uid="{00000000-0005-0000-0000-000002090000}"/>
    <cellStyle name="Normal 40 2 4 2" xfId="2305" xr:uid="{00000000-0005-0000-0000-000003090000}"/>
    <cellStyle name="Normal 40 2 4 3" xfId="2306" xr:uid="{00000000-0005-0000-0000-000004090000}"/>
    <cellStyle name="Normal 40 2 4 4" xfId="2307" xr:uid="{00000000-0005-0000-0000-000005090000}"/>
    <cellStyle name="Normal 40 2 4 5" xfId="2308" xr:uid="{00000000-0005-0000-0000-000006090000}"/>
    <cellStyle name="Normal 40 2 4 6" xfId="2309" xr:uid="{00000000-0005-0000-0000-000007090000}"/>
    <cellStyle name="Normal 40 2 4 7" xfId="2310" xr:uid="{00000000-0005-0000-0000-000008090000}"/>
    <cellStyle name="Normal 40 2 4 8" xfId="2311" xr:uid="{00000000-0005-0000-0000-000009090000}"/>
    <cellStyle name="Normal 40 2 5" xfId="2312" xr:uid="{00000000-0005-0000-0000-00000A090000}"/>
    <cellStyle name="Normal 40 2 5 2" xfId="2313" xr:uid="{00000000-0005-0000-0000-00000B090000}"/>
    <cellStyle name="Normal 40 2 5 3" xfId="2314" xr:uid="{00000000-0005-0000-0000-00000C090000}"/>
    <cellStyle name="Normal 40 2 5 4" xfId="2315" xr:uid="{00000000-0005-0000-0000-00000D090000}"/>
    <cellStyle name="Normal 40 2 5 5" xfId="2316" xr:uid="{00000000-0005-0000-0000-00000E090000}"/>
    <cellStyle name="Normal 40 2 5 6" xfId="2317" xr:uid="{00000000-0005-0000-0000-00000F090000}"/>
    <cellStyle name="Normal 40 2 5 7" xfId="2318" xr:uid="{00000000-0005-0000-0000-000010090000}"/>
    <cellStyle name="Normal 40 2 5 8" xfId="2319" xr:uid="{00000000-0005-0000-0000-000011090000}"/>
    <cellStyle name="Normal 40 2 6" xfId="2320" xr:uid="{00000000-0005-0000-0000-000012090000}"/>
    <cellStyle name="Normal 40 2 6 2" xfId="2321" xr:uid="{00000000-0005-0000-0000-000013090000}"/>
    <cellStyle name="Normal 40 2 6 3" xfId="2322" xr:uid="{00000000-0005-0000-0000-000014090000}"/>
    <cellStyle name="Normal 40 2 6 4" xfId="2323" xr:uid="{00000000-0005-0000-0000-000015090000}"/>
    <cellStyle name="Normal 40 2 6 5" xfId="2324" xr:uid="{00000000-0005-0000-0000-000016090000}"/>
    <cellStyle name="Normal 40 2 6 6" xfId="2325" xr:uid="{00000000-0005-0000-0000-000017090000}"/>
    <cellStyle name="Normal 40 2 6 7" xfId="2326" xr:uid="{00000000-0005-0000-0000-000018090000}"/>
    <cellStyle name="Normal 40 2 6 8" xfId="2327" xr:uid="{00000000-0005-0000-0000-000019090000}"/>
    <cellStyle name="Normal 40 2 7" xfId="2328" xr:uid="{00000000-0005-0000-0000-00001A090000}"/>
    <cellStyle name="Normal 40 2 7 2" xfId="2329" xr:uid="{00000000-0005-0000-0000-00001B090000}"/>
    <cellStyle name="Normal 40 2 7 3" xfId="2330" xr:uid="{00000000-0005-0000-0000-00001C090000}"/>
    <cellStyle name="Normal 40 2 7 4" xfId="2331" xr:uid="{00000000-0005-0000-0000-00001D090000}"/>
    <cellStyle name="Normal 40 2 7 5" xfId="2332" xr:uid="{00000000-0005-0000-0000-00001E090000}"/>
    <cellStyle name="Normal 40 2 7 6" xfId="2333" xr:uid="{00000000-0005-0000-0000-00001F090000}"/>
    <cellStyle name="Normal 40 2 7 7" xfId="2334" xr:uid="{00000000-0005-0000-0000-000020090000}"/>
    <cellStyle name="Normal 40 2 7 8" xfId="2335" xr:uid="{00000000-0005-0000-0000-000021090000}"/>
    <cellStyle name="Normal 40 2 8" xfId="2336" xr:uid="{00000000-0005-0000-0000-000022090000}"/>
    <cellStyle name="Normal 40 2 8 2" xfId="2337" xr:uid="{00000000-0005-0000-0000-000023090000}"/>
    <cellStyle name="Normal 40 2 8 3" xfId="2338" xr:uid="{00000000-0005-0000-0000-000024090000}"/>
    <cellStyle name="Normal 40 2 8 4" xfId="2339" xr:uid="{00000000-0005-0000-0000-000025090000}"/>
    <cellStyle name="Normal 40 2 8 5" xfId="2340" xr:uid="{00000000-0005-0000-0000-000026090000}"/>
    <cellStyle name="Normal 40 2 8 6" xfId="2341" xr:uid="{00000000-0005-0000-0000-000027090000}"/>
    <cellStyle name="Normal 40 2 8 7" xfId="2342" xr:uid="{00000000-0005-0000-0000-000028090000}"/>
    <cellStyle name="Normal 40 2 8 8" xfId="2343" xr:uid="{00000000-0005-0000-0000-000029090000}"/>
    <cellStyle name="Normal 40 2 9" xfId="2344" xr:uid="{00000000-0005-0000-0000-00002A090000}"/>
    <cellStyle name="Normal 40 2 9 2" xfId="2345" xr:uid="{00000000-0005-0000-0000-00002B090000}"/>
    <cellStyle name="Normal 40 2 9 3" xfId="2346" xr:uid="{00000000-0005-0000-0000-00002C090000}"/>
    <cellStyle name="Normal 40 2 9 4" xfId="2347" xr:uid="{00000000-0005-0000-0000-00002D090000}"/>
    <cellStyle name="Normal 40 2 9 5" xfId="2348" xr:uid="{00000000-0005-0000-0000-00002E090000}"/>
    <cellStyle name="Normal 40 2 9 6" xfId="2349" xr:uid="{00000000-0005-0000-0000-00002F090000}"/>
    <cellStyle name="Normal 40 2 9 7" xfId="2350" xr:uid="{00000000-0005-0000-0000-000030090000}"/>
    <cellStyle name="Normal 40 2 9 8" xfId="2351" xr:uid="{00000000-0005-0000-0000-000031090000}"/>
    <cellStyle name="Normal 40 3" xfId="2352" xr:uid="{00000000-0005-0000-0000-000032090000}"/>
    <cellStyle name="Normal 40 3 10" xfId="2353" xr:uid="{00000000-0005-0000-0000-000033090000}"/>
    <cellStyle name="Normal 40 3 10 2" xfId="2354" xr:uid="{00000000-0005-0000-0000-000034090000}"/>
    <cellStyle name="Normal 40 3 10 3" xfId="2355" xr:uid="{00000000-0005-0000-0000-000035090000}"/>
    <cellStyle name="Normal 40 3 10 4" xfId="2356" xr:uid="{00000000-0005-0000-0000-000036090000}"/>
    <cellStyle name="Normal 40 3 10 5" xfId="2357" xr:uid="{00000000-0005-0000-0000-000037090000}"/>
    <cellStyle name="Normal 40 3 10 6" xfId="2358" xr:uid="{00000000-0005-0000-0000-000038090000}"/>
    <cellStyle name="Normal 40 3 10 7" xfId="2359" xr:uid="{00000000-0005-0000-0000-000039090000}"/>
    <cellStyle name="Normal 40 3 10 8" xfId="2360" xr:uid="{00000000-0005-0000-0000-00003A090000}"/>
    <cellStyle name="Normal 40 3 2" xfId="2361" xr:uid="{00000000-0005-0000-0000-00003B090000}"/>
    <cellStyle name="Normal 40 3 2 10" xfId="2362" xr:uid="{00000000-0005-0000-0000-00003C090000}"/>
    <cellStyle name="Normal 40 3 2 11" xfId="2363" xr:uid="{00000000-0005-0000-0000-00003D090000}"/>
    <cellStyle name="Normal 40 3 2 12" xfId="2364" xr:uid="{00000000-0005-0000-0000-00003E090000}"/>
    <cellStyle name="Normal 40 3 2 13" xfId="2365" xr:uid="{00000000-0005-0000-0000-00003F090000}"/>
    <cellStyle name="Normal 40 3 2 14" xfId="2366" xr:uid="{00000000-0005-0000-0000-000040090000}"/>
    <cellStyle name="Normal 40 3 2 15" xfId="2367" xr:uid="{00000000-0005-0000-0000-000041090000}"/>
    <cellStyle name="Normal 40 3 2 16" xfId="2368" xr:uid="{00000000-0005-0000-0000-000042090000}"/>
    <cellStyle name="Normal 40 3 2 2" xfId="2369" xr:uid="{00000000-0005-0000-0000-000043090000}"/>
    <cellStyle name="Normal 40 3 2 3" xfId="2370" xr:uid="{00000000-0005-0000-0000-000044090000}"/>
    <cellStyle name="Normal 40 3 2 4" xfId="2371" xr:uid="{00000000-0005-0000-0000-000045090000}"/>
    <cellStyle name="Normal 40 3 2 5" xfId="2372" xr:uid="{00000000-0005-0000-0000-000046090000}"/>
    <cellStyle name="Normal 40 3 2 6" xfId="2373" xr:uid="{00000000-0005-0000-0000-000047090000}"/>
    <cellStyle name="Normal 40 3 2 7" xfId="2374" xr:uid="{00000000-0005-0000-0000-000048090000}"/>
    <cellStyle name="Normal 40 3 2 8" xfId="2375" xr:uid="{00000000-0005-0000-0000-000049090000}"/>
    <cellStyle name="Normal 40 3 2 9" xfId="2376" xr:uid="{00000000-0005-0000-0000-00004A090000}"/>
    <cellStyle name="Normal 40 3 3" xfId="2377" xr:uid="{00000000-0005-0000-0000-00004B090000}"/>
    <cellStyle name="Normal 40 3 4" xfId="2378" xr:uid="{00000000-0005-0000-0000-00004C090000}"/>
    <cellStyle name="Normal 40 3 4 2" xfId="2379" xr:uid="{00000000-0005-0000-0000-00004D090000}"/>
    <cellStyle name="Normal 40 3 4 3" xfId="2380" xr:uid="{00000000-0005-0000-0000-00004E090000}"/>
    <cellStyle name="Normal 40 3 4 4" xfId="2381" xr:uid="{00000000-0005-0000-0000-00004F090000}"/>
    <cellStyle name="Normal 40 3 4 5" xfId="2382" xr:uid="{00000000-0005-0000-0000-000050090000}"/>
    <cellStyle name="Normal 40 3 4 6" xfId="2383" xr:uid="{00000000-0005-0000-0000-000051090000}"/>
    <cellStyle name="Normal 40 3 4 7" xfId="2384" xr:uid="{00000000-0005-0000-0000-000052090000}"/>
    <cellStyle name="Normal 40 3 4 8" xfId="2385" xr:uid="{00000000-0005-0000-0000-000053090000}"/>
    <cellStyle name="Normal 40 3 5" xfId="2386" xr:uid="{00000000-0005-0000-0000-000054090000}"/>
    <cellStyle name="Normal 40 3 5 2" xfId="2387" xr:uid="{00000000-0005-0000-0000-000055090000}"/>
    <cellStyle name="Normal 40 3 5 3" xfId="2388" xr:uid="{00000000-0005-0000-0000-000056090000}"/>
    <cellStyle name="Normal 40 3 5 4" xfId="2389" xr:uid="{00000000-0005-0000-0000-000057090000}"/>
    <cellStyle name="Normal 40 3 5 5" xfId="2390" xr:uid="{00000000-0005-0000-0000-000058090000}"/>
    <cellStyle name="Normal 40 3 5 6" xfId="2391" xr:uid="{00000000-0005-0000-0000-000059090000}"/>
    <cellStyle name="Normal 40 3 5 7" xfId="2392" xr:uid="{00000000-0005-0000-0000-00005A090000}"/>
    <cellStyle name="Normal 40 3 5 8" xfId="2393" xr:uid="{00000000-0005-0000-0000-00005B090000}"/>
    <cellStyle name="Normal 40 3 6" xfId="2394" xr:uid="{00000000-0005-0000-0000-00005C090000}"/>
    <cellStyle name="Normal 40 3 6 2" xfId="2395" xr:uid="{00000000-0005-0000-0000-00005D090000}"/>
    <cellStyle name="Normal 40 3 6 3" xfId="2396" xr:uid="{00000000-0005-0000-0000-00005E090000}"/>
    <cellStyle name="Normal 40 3 6 4" xfId="2397" xr:uid="{00000000-0005-0000-0000-00005F090000}"/>
    <cellStyle name="Normal 40 3 6 5" xfId="2398" xr:uid="{00000000-0005-0000-0000-000060090000}"/>
    <cellStyle name="Normal 40 3 6 6" xfId="2399" xr:uid="{00000000-0005-0000-0000-000061090000}"/>
    <cellStyle name="Normal 40 3 6 7" xfId="2400" xr:uid="{00000000-0005-0000-0000-000062090000}"/>
    <cellStyle name="Normal 40 3 6 8" xfId="2401" xr:uid="{00000000-0005-0000-0000-000063090000}"/>
    <cellStyle name="Normal 40 3 7" xfId="2402" xr:uid="{00000000-0005-0000-0000-000064090000}"/>
    <cellStyle name="Normal 40 3 7 2" xfId="2403" xr:uid="{00000000-0005-0000-0000-000065090000}"/>
    <cellStyle name="Normal 40 3 7 3" xfId="2404" xr:uid="{00000000-0005-0000-0000-000066090000}"/>
    <cellStyle name="Normal 40 3 7 4" xfId="2405" xr:uid="{00000000-0005-0000-0000-000067090000}"/>
    <cellStyle name="Normal 40 3 7 5" xfId="2406" xr:uid="{00000000-0005-0000-0000-000068090000}"/>
    <cellStyle name="Normal 40 3 7 6" xfId="2407" xr:uid="{00000000-0005-0000-0000-000069090000}"/>
    <cellStyle name="Normal 40 3 7 7" xfId="2408" xr:uid="{00000000-0005-0000-0000-00006A090000}"/>
    <cellStyle name="Normal 40 3 7 8" xfId="2409" xr:uid="{00000000-0005-0000-0000-00006B090000}"/>
    <cellStyle name="Normal 40 3 8" xfId="2410" xr:uid="{00000000-0005-0000-0000-00006C090000}"/>
    <cellStyle name="Normal 40 3 8 2" xfId="2411" xr:uid="{00000000-0005-0000-0000-00006D090000}"/>
    <cellStyle name="Normal 40 3 8 3" xfId="2412" xr:uid="{00000000-0005-0000-0000-00006E090000}"/>
    <cellStyle name="Normal 40 3 8 4" xfId="2413" xr:uid="{00000000-0005-0000-0000-00006F090000}"/>
    <cellStyle name="Normal 40 3 8 5" xfId="2414" xr:uid="{00000000-0005-0000-0000-000070090000}"/>
    <cellStyle name="Normal 40 3 8 6" xfId="2415" xr:uid="{00000000-0005-0000-0000-000071090000}"/>
    <cellStyle name="Normal 40 3 8 7" xfId="2416" xr:uid="{00000000-0005-0000-0000-000072090000}"/>
    <cellStyle name="Normal 40 3 8 8" xfId="2417" xr:uid="{00000000-0005-0000-0000-000073090000}"/>
    <cellStyle name="Normal 40 3 9" xfId="2418" xr:uid="{00000000-0005-0000-0000-000074090000}"/>
    <cellStyle name="Normal 40 3 9 2" xfId="2419" xr:uid="{00000000-0005-0000-0000-000075090000}"/>
    <cellStyle name="Normal 40 3 9 3" xfId="2420" xr:uid="{00000000-0005-0000-0000-000076090000}"/>
    <cellStyle name="Normal 40 3 9 4" xfId="2421" xr:uid="{00000000-0005-0000-0000-000077090000}"/>
    <cellStyle name="Normal 40 3 9 5" xfId="2422" xr:uid="{00000000-0005-0000-0000-000078090000}"/>
    <cellStyle name="Normal 40 3 9 6" xfId="2423" xr:uid="{00000000-0005-0000-0000-000079090000}"/>
    <cellStyle name="Normal 40 3 9 7" xfId="2424" xr:uid="{00000000-0005-0000-0000-00007A090000}"/>
    <cellStyle name="Normal 40 3 9 8" xfId="2425" xr:uid="{00000000-0005-0000-0000-00007B090000}"/>
    <cellStyle name="Normal 41" xfId="2426" xr:uid="{00000000-0005-0000-0000-00007C090000}"/>
    <cellStyle name="Normal 41 2" xfId="2427" xr:uid="{00000000-0005-0000-0000-00007D090000}"/>
    <cellStyle name="Normal 41 2 10" xfId="2428" xr:uid="{00000000-0005-0000-0000-00007E090000}"/>
    <cellStyle name="Normal 41 2 10 2" xfId="2429" xr:uid="{00000000-0005-0000-0000-00007F090000}"/>
    <cellStyle name="Normal 41 2 10 3" xfId="2430" xr:uid="{00000000-0005-0000-0000-000080090000}"/>
    <cellStyle name="Normal 41 2 10 4" xfId="2431" xr:uid="{00000000-0005-0000-0000-000081090000}"/>
    <cellStyle name="Normal 41 2 10 5" xfId="2432" xr:uid="{00000000-0005-0000-0000-000082090000}"/>
    <cellStyle name="Normal 41 2 10 6" xfId="2433" xr:uid="{00000000-0005-0000-0000-000083090000}"/>
    <cellStyle name="Normal 41 2 10 7" xfId="2434" xr:uid="{00000000-0005-0000-0000-000084090000}"/>
    <cellStyle name="Normal 41 2 10 8" xfId="2435" xr:uid="{00000000-0005-0000-0000-000085090000}"/>
    <cellStyle name="Normal 41 2 2" xfId="2436" xr:uid="{00000000-0005-0000-0000-000086090000}"/>
    <cellStyle name="Normal 41 2 2 10" xfId="2437" xr:uid="{00000000-0005-0000-0000-000087090000}"/>
    <cellStyle name="Normal 41 2 2 11" xfId="2438" xr:uid="{00000000-0005-0000-0000-000088090000}"/>
    <cellStyle name="Normal 41 2 2 12" xfId="2439" xr:uid="{00000000-0005-0000-0000-000089090000}"/>
    <cellStyle name="Normal 41 2 2 13" xfId="2440" xr:uid="{00000000-0005-0000-0000-00008A090000}"/>
    <cellStyle name="Normal 41 2 2 14" xfId="2441" xr:uid="{00000000-0005-0000-0000-00008B090000}"/>
    <cellStyle name="Normal 41 2 2 15" xfId="2442" xr:uid="{00000000-0005-0000-0000-00008C090000}"/>
    <cellStyle name="Normal 41 2 2 16" xfId="2443" xr:uid="{00000000-0005-0000-0000-00008D090000}"/>
    <cellStyle name="Normal 41 2 2 2" xfId="2444" xr:uid="{00000000-0005-0000-0000-00008E090000}"/>
    <cellStyle name="Normal 41 2 2 3" xfId="2445" xr:uid="{00000000-0005-0000-0000-00008F090000}"/>
    <cellStyle name="Normal 41 2 2 4" xfId="2446" xr:uid="{00000000-0005-0000-0000-000090090000}"/>
    <cellStyle name="Normal 41 2 2 5" xfId="2447" xr:uid="{00000000-0005-0000-0000-000091090000}"/>
    <cellStyle name="Normal 41 2 2 6" xfId="2448" xr:uid="{00000000-0005-0000-0000-000092090000}"/>
    <cellStyle name="Normal 41 2 2 7" xfId="2449" xr:uid="{00000000-0005-0000-0000-000093090000}"/>
    <cellStyle name="Normal 41 2 2 8" xfId="2450" xr:uid="{00000000-0005-0000-0000-000094090000}"/>
    <cellStyle name="Normal 41 2 2 9" xfId="2451" xr:uid="{00000000-0005-0000-0000-000095090000}"/>
    <cellStyle name="Normal 41 2 3" xfId="2452" xr:uid="{00000000-0005-0000-0000-000096090000}"/>
    <cellStyle name="Normal 41 2 4" xfId="2453" xr:uid="{00000000-0005-0000-0000-000097090000}"/>
    <cellStyle name="Normal 41 2 4 2" xfId="2454" xr:uid="{00000000-0005-0000-0000-000098090000}"/>
    <cellStyle name="Normal 41 2 4 3" xfId="2455" xr:uid="{00000000-0005-0000-0000-000099090000}"/>
    <cellStyle name="Normal 41 2 4 4" xfId="2456" xr:uid="{00000000-0005-0000-0000-00009A090000}"/>
    <cellStyle name="Normal 41 2 4 5" xfId="2457" xr:uid="{00000000-0005-0000-0000-00009B090000}"/>
    <cellStyle name="Normal 41 2 4 6" xfId="2458" xr:uid="{00000000-0005-0000-0000-00009C090000}"/>
    <cellStyle name="Normal 41 2 4 7" xfId="2459" xr:uid="{00000000-0005-0000-0000-00009D090000}"/>
    <cellStyle name="Normal 41 2 4 8" xfId="2460" xr:uid="{00000000-0005-0000-0000-00009E090000}"/>
    <cellStyle name="Normal 41 2 5" xfId="2461" xr:uid="{00000000-0005-0000-0000-00009F090000}"/>
    <cellStyle name="Normal 41 2 5 2" xfId="2462" xr:uid="{00000000-0005-0000-0000-0000A0090000}"/>
    <cellStyle name="Normal 41 2 5 3" xfId="2463" xr:uid="{00000000-0005-0000-0000-0000A1090000}"/>
    <cellStyle name="Normal 41 2 5 4" xfId="2464" xr:uid="{00000000-0005-0000-0000-0000A2090000}"/>
    <cellStyle name="Normal 41 2 5 5" xfId="2465" xr:uid="{00000000-0005-0000-0000-0000A3090000}"/>
    <cellStyle name="Normal 41 2 5 6" xfId="2466" xr:uid="{00000000-0005-0000-0000-0000A4090000}"/>
    <cellStyle name="Normal 41 2 5 7" xfId="2467" xr:uid="{00000000-0005-0000-0000-0000A5090000}"/>
    <cellStyle name="Normal 41 2 5 8" xfId="2468" xr:uid="{00000000-0005-0000-0000-0000A6090000}"/>
    <cellStyle name="Normal 41 2 6" xfId="2469" xr:uid="{00000000-0005-0000-0000-0000A7090000}"/>
    <cellStyle name="Normal 41 2 6 2" xfId="2470" xr:uid="{00000000-0005-0000-0000-0000A8090000}"/>
    <cellStyle name="Normal 41 2 6 3" xfId="2471" xr:uid="{00000000-0005-0000-0000-0000A9090000}"/>
    <cellStyle name="Normal 41 2 6 4" xfId="2472" xr:uid="{00000000-0005-0000-0000-0000AA090000}"/>
    <cellStyle name="Normal 41 2 6 5" xfId="2473" xr:uid="{00000000-0005-0000-0000-0000AB090000}"/>
    <cellStyle name="Normal 41 2 6 6" xfId="2474" xr:uid="{00000000-0005-0000-0000-0000AC090000}"/>
    <cellStyle name="Normal 41 2 6 7" xfId="2475" xr:uid="{00000000-0005-0000-0000-0000AD090000}"/>
    <cellStyle name="Normal 41 2 6 8" xfId="2476" xr:uid="{00000000-0005-0000-0000-0000AE090000}"/>
    <cellStyle name="Normal 41 2 7" xfId="2477" xr:uid="{00000000-0005-0000-0000-0000AF090000}"/>
    <cellStyle name="Normal 41 2 7 2" xfId="2478" xr:uid="{00000000-0005-0000-0000-0000B0090000}"/>
    <cellStyle name="Normal 41 2 7 3" xfId="2479" xr:uid="{00000000-0005-0000-0000-0000B1090000}"/>
    <cellStyle name="Normal 41 2 7 4" xfId="2480" xr:uid="{00000000-0005-0000-0000-0000B2090000}"/>
    <cellStyle name="Normal 41 2 7 5" xfId="2481" xr:uid="{00000000-0005-0000-0000-0000B3090000}"/>
    <cellStyle name="Normal 41 2 7 6" xfId="2482" xr:uid="{00000000-0005-0000-0000-0000B4090000}"/>
    <cellStyle name="Normal 41 2 7 7" xfId="2483" xr:uid="{00000000-0005-0000-0000-0000B5090000}"/>
    <cellStyle name="Normal 41 2 7 8" xfId="2484" xr:uid="{00000000-0005-0000-0000-0000B6090000}"/>
    <cellStyle name="Normal 41 2 8" xfId="2485" xr:uid="{00000000-0005-0000-0000-0000B7090000}"/>
    <cellStyle name="Normal 41 2 8 2" xfId="2486" xr:uid="{00000000-0005-0000-0000-0000B8090000}"/>
    <cellStyle name="Normal 41 2 8 3" xfId="2487" xr:uid="{00000000-0005-0000-0000-0000B9090000}"/>
    <cellStyle name="Normal 41 2 8 4" xfId="2488" xr:uid="{00000000-0005-0000-0000-0000BA090000}"/>
    <cellStyle name="Normal 41 2 8 5" xfId="2489" xr:uid="{00000000-0005-0000-0000-0000BB090000}"/>
    <cellStyle name="Normal 41 2 8 6" xfId="2490" xr:uid="{00000000-0005-0000-0000-0000BC090000}"/>
    <cellStyle name="Normal 41 2 8 7" xfId="2491" xr:uid="{00000000-0005-0000-0000-0000BD090000}"/>
    <cellStyle name="Normal 41 2 8 8" xfId="2492" xr:uid="{00000000-0005-0000-0000-0000BE090000}"/>
    <cellStyle name="Normal 41 2 9" xfId="2493" xr:uid="{00000000-0005-0000-0000-0000BF090000}"/>
    <cellStyle name="Normal 41 2 9 2" xfId="2494" xr:uid="{00000000-0005-0000-0000-0000C0090000}"/>
    <cellStyle name="Normal 41 2 9 3" xfId="2495" xr:uid="{00000000-0005-0000-0000-0000C1090000}"/>
    <cellStyle name="Normal 41 2 9 4" xfId="2496" xr:uid="{00000000-0005-0000-0000-0000C2090000}"/>
    <cellStyle name="Normal 41 2 9 5" xfId="2497" xr:uid="{00000000-0005-0000-0000-0000C3090000}"/>
    <cellStyle name="Normal 41 2 9 6" xfId="2498" xr:uid="{00000000-0005-0000-0000-0000C4090000}"/>
    <cellStyle name="Normal 41 2 9 7" xfId="2499" xr:uid="{00000000-0005-0000-0000-0000C5090000}"/>
    <cellStyle name="Normal 41 2 9 8" xfId="2500" xr:uid="{00000000-0005-0000-0000-0000C6090000}"/>
    <cellStyle name="Normal 41 3" xfId="2501" xr:uid="{00000000-0005-0000-0000-0000C7090000}"/>
    <cellStyle name="Normal 41 3 10" xfId="2502" xr:uid="{00000000-0005-0000-0000-0000C8090000}"/>
    <cellStyle name="Normal 41 3 10 2" xfId="2503" xr:uid="{00000000-0005-0000-0000-0000C9090000}"/>
    <cellStyle name="Normal 41 3 10 3" xfId="2504" xr:uid="{00000000-0005-0000-0000-0000CA090000}"/>
    <cellStyle name="Normal 41 3 10 4" xfId="2505" xr:uid="{00000000-0005-0000-0000-0000CB090000}"/>
    <cellStyle name="Normal 41 3 10 5" xfId="2506" xr:uid="{00000000-0005-0000-0000-0000CC090000}"/>
    <cellStyle name="Normal 41 3 10 6" xfId="2507" xr:uid="{00000000-0005-0000-0000-0000CD090000}"/>
    <cellStyle name="Normal 41 3 10 7" xfId="2508" xr:uid="{00000000-0005-0000-0000-0000CE090000}"/>
    <cellStyle name="Normal 41 3 10 8" xfId="2509" xr:uid="{00000000-0005-0000-0000-0000CF090000}"/>
    <cellStyle name="Normal 41 3 2" xfId="2510" xr:uid="{00000000-0005-0000-0000-0000D0090000}"/>
    <cellStyle name="Normal 41 3 2 10" xfId="2511" xr:uid="{00000000-0005-0000-0000-0000D1090000}"/>
    <cellStyle name="Normal 41 3 2 11" xfId="2512" xr:uid="{00000000-0005-0000-0000-0000D2090000}"/>
    <cellStyle name="Normal 41 3 2 12" xfId="2513" xr:uid="{00000000-0005-0000-0000-0000D3090000}"/>
    <cellStyle name="Normal 41 3 2 13" xfId="2514" xr:uid="{00000000-0005-0000-0000-0000D4090000}"/>
    <cellStyle name="Normal 41 3 2 14" xfId="2515" xr:uid="{00000000-0005-0000-0000-0000D5090000}"/>
    <cellStyle name="Normal 41 3 2 15" xfId="2516" xr:uid="{00000000-0005-0000-0000-0000D6090000}"/>
    <cellStyle name="Normal 41 3 2 16" xfId="2517" xr:uid="{00000000-0005-0000-0000-0000D7090000}"/>
    <cellStyle name="Normal 41 3 2 2" xfId="2518" xr:uid="{00000000-0005-0000-0000-0000D8090000}"/>
    <cellStyle name="Normal 41 3 2 3" xfId="2519" xr:uid="{00000000-0005-0000-0000-0000D9090000}"/>
    <cellStyle name="Normal 41 3 2 4" xfId="2520" xr:uid="{00000000-0005-0000-0000-0000DA090000}"/>
    <cellStyle name="Normal 41 3 2 5" xfId="2521" xr:uid="{00000000-0005-0000-0000-0000DB090000}"/>
    <cellStyle name="Normal 41 3 2 6" xfId="2522" xr:uid="{00000000-0005-0000-0000-0000DC090000}"/>
    <cellStyle name="Normal 41 3 2 7" xfId="2523" xr:uid="{00000000-0005-0000-0000-0000DD090000}"/>
    <cellStyle name="Normal 41 3 2 8" xfId="2524" xr:uid="{00000000-0005-0000-0000-0000DE090000}"/>
    <cellStyle name="Normal 41 3 2 9" xfId="2525" xr:uid="{00000000-0005-0000-0000-0000DF090000}"/>
    <cellStyle name="Normal 41 3 3" xfId="2526" xr:uid="{00000000-0005-0000-0000-0000E0090000}"/>
    <cellStyle name="Normal 41 3 4" xfId="2527" xr:uid="{00000000-0005-0000-0000-0000E1090000}"/>
    <cellStyle name="Normal 41 3 4 2" xfId="2528" xr:uid="{00000000-0005-0000-0000-0000E2090000}"/>
    <cellStyle name="Normal 41 3 4 3" xfId="2529" xr:uid="{00000000-0005-0000-0000-0000E3090000}"/>
    <cellStyle name="Normal 41 3 4 4" xfId="2530" xr:uid="{00000000-0005-0000-0000-0000E4090000}"/>
    <cellStyle name="Normal 41 3 4 5" xfId="2531" xr:uid="{00000000-0005-0000-0000-0000E5090000}"/>
    <cellStyle name="Normal 41 3 4 6" xfId="2532" xr:uid="{00000000-0005-0000-0000-0000E6090000}"/>
    <cellStyle name="Normal 41 3 4 7" xfId="2533" xr:uid="{00000000-0005-0000-0000-0000E7090000}"/>
    <cellStyle name="Normal 41 3 4 8" xfId="2534" xr:uid="{00000000-0005-0000-0000-0000E8090000}"/>
    <cellStyle name="Normal 41 3 5" xfId="2535" xr:uid="{00000000-0005-0000-0000-0000E9090000}"/>
    <cellStyle name="Normal 41 3 5 2" xfId="2536" xr:uid="{00000000-0005-0000-0000-0000EA090000}"/>
    <cellStyle name="Normal 41 3 5 3" xfId="2537" xr:uid="{00000000-0005-0000-0000-0000EB090000}"/>
    <cellStyle name="Normal 41 3 5 4" xfId="2538" xr:uid="{00000000-0005-0000-0000-0000EC090000}"/>
    <cellStyle name="Normal 41 3 5 5" xfId="2539" xr:uid="{00000000-0005-0000-0000-0000ED090000}"/>
    <cellStyle name="Normal 41 3 5 6" xfId="2540" xr:uid="{00000000-0005-0000-0000-0000EE090000}"/>
    <cellStyle name="Normal 41 3 5 7" xfId="2541" xr:uid="{00000000-0005-0000-0000-0000EF090000}"/>
    <cellStyle name="Normal 41 3 5 8" xfId="2542" xr:uid="{00000000-0005-0000-0000-0000F0090000}"/>
    <cellStyle name="Normal 41 3 6" xfId="2543" xr:uid="{00000000-0005-0000-0000-0000F1090000}"/>
    <cellStyle name="Normal 41 3 6 2" xfId="2544" xr:uid="{00000000-0005-0000-0000-0000F2090000}"/>
    <cellStyle name="Normal 41 3 6 3" xfId="2545" xr:uid="{00000000-0005-0000-0000-0000F3090000}"/>
    <cellStyle name="Normal 41 3 6 4" xfId="2546" xr:uid="{00000000-0005-0000-0000-0000F4090000}"/>
    <cellStyle name="Normal 41 3 6 5" xfId="2547" xr:uid="{00000000-0005-0000-0000-0000F5090000}"/>
    <cellStyle name="Normal 41 3 6 6" xfId="2548" xr:uid="{00000000-0005-0000-0000-0000F6090000}"/>
    <cellStyle name="Normal 41 3 6 7" xfId="2549" xr:uid="{00000000-0005-0000-0000-0000F7090000}"/>
    <cellStyle name="Normal 41 3 6 8" xfId="2550" xr:uid="{00000000-0005-0000-0000-0000F8090000}"/>
    <cellStyle name="Normal 41 3 7" xfId="2551" xr:uid="{00000000-0005-0000-0000-0000F9090000}"/>
    <cellStyle name="Normal 41 3 7 2" xfId="2552" xr:uid="{00000000-0005-0000-0000-0000FA090000}"/>
    <cellStyle name="Normal 41 3 7 3" xfId="2553" xr:uid="{00000000-0005-0000-0000-0000FB090000}"/>
    <cellStyle name="Normal 41 3 7 4" xfId="2554" xr:uid="{00000000-0005-0000-0000-0000FC090000}"/>
    <cellStyle name="Normal 41 3 7 5" xfId="2555" xr:uid="{00000000-0005-0000-0000-0000FD090000}"/>
    <cellStyle name="Normal 41 3 7 6" xfId="2556" xr:uid="{00000000-0005-0000-0000-0000FE090000}"/>
    <cellStyle name="Normal 41 3 7 7" xfId="2557" xr:uid="{00000000-0005-0000-0000-0000FF090000}"/>
    <cellStyle name="Normal 41 3 7 8" xfId="2558" xr:uid="{00000000-0005-0000-0000-0000000A0000}"/>
    <cellStyle name="Normal 41 3 8" xfId="2559" xr:uid="{00000000-0005-0000-0000-0000010A0000}"/>
    <cellStyle name="Normal 41 3 8 2" xfId="2560" xr:uid="{00000000-0005-0000-0000-0000020A0000}"/>
    <cellStyle name="Normal 41 3 8 3" xfId="2561" xr:uid="{00000000-0005-0000-0000-0000030A0000}"/>
    <cellStyle name="Normal 41 3 8 4" xfId="2562" xr:uid="{00000000-0005-0000-0000-0000040A0000}"/>
    <cellStyle name="Normal 41 3 8 5" xfId="2563" xr:uid="{00000000-0005-0000-0000-0000050A0000}"/>
    <cellStyle name="Normal 41 3 8 6" xfId="2564" xr:uid="{00000000-0005-0000-0000-0000060A0000}"/>
    <cellStyle name="Normal 41 3 8 7" xfId="2565" xr:uid="{00000000-0005-0000-0000-0000070A0000}"/>
    <cellStyle name="Normal 41 3 8 8" xfId="2566" xr:uid="{00000000-0005-0000-0000-0000080A0000}"/>
    <cellStyle name="Normal 41 3 9" xfId="2567" xr:uid="{00000000-0005-0000-0000-0000090A0000}"/>
    <cellStyle name="Normal 41 3 9 2" xfId="2568" xr:uid="{00000000-0005-0000-0000-00000A0A0000}"/>
    <cellStyle name="Normal 41 3 9 3" xfId="2569" xr:uid="{00000000-0005-0000-0000-00000B0A0000}"/>
    <cellStyle name="Normal 41 3 9 4" xfId="2570" xr:uid="{00000000-0005-0000-0000-00000C0A0000}"/>
    <cellStyle name="Normal 41 3 9 5" xfId="2571" xr:uid="{00000000-0005-0000-0000-00000D0A0000}"/>
    <cellStyle name="Normal 41 3 9 6" xfId="2572" xr:uid="{00000000-0005-0000-0000-00000E0A0000}"/>
    <cellStyle name="Normal 41 3 9 7" xfId="2573" xr:uid="{00000000-0005-0000-0000-00000F0A0000}"/>
    <cellStyle name="Normal 41 3 9 8" xfId="2574" xr:uid="{00000000-0005-0000-0000-0000100A0000}"/>
    <cellStyle name="Normal 42" xfId="2575" xr:uid="{00000000-0005-0000-0000-0000110A0000}"/>
    <cellStyle name="Normal 42 2" xfId="2576" xr:uid="{00000000-0005-0000-0000-0000120A0000}"/>
    <cellStyle name="Normal 42 2 10" xfId="2577" xr:uid="{00000000-0005-0000-0000-0000130A0000}"/>
    <cellStyle name="Normal 42 2 10 2" xfId="2578" xr:uid="{00000000-0005-0000-0000-0000140A0000}"/>
    <cellStyle name="Normal 42 2 10 3" xfId="2579" xr:uid="{00000000-0005-0000-0000-0000150A0000}"/>
    <cellStyle name="Normal 42 2 10 4" xfId="2580" xr:uid="{00000000-0005-0000-0000-0000160A0000}"/>
    <cellStyle name="Normal 42 2 10 5" xfId="2581" xr:uid="{00000000-0005-0000-0000-0000170A0000}"/>
    <cellStyle name="Normal 42 2 10 6" xfId="2582" xr:uid="{00000000-0005-0000-0000-0000180A0000}"/>
    <cellStyle name="Normal 42 2 10 7" xfId="2583" xr:uid="{00000000-0005-0000-0000-0000190A0000}"/>
    <cellStyle name="Normal 42 2 10 8" xfId="2584" xr:uid="{00000000-0005-0000-0000-00001A0A0000}"/>
    <cellStyle name="Normal 42 2 2" xfId="2585" xr:uid="{00000000-0005-0000-0000-00001B0A0000}"/>
    <cellStyle name="Normal 42 2 2 10" xfId="2586" xr:uid="{00000000-0005-0000-0000-00001C0A0000}"/>
    <cellStyle name="Normal 42 2 2 11" xfId="2587" xr:uid="{00000000-0005-0000-0000-00001D0A0000}"/>
    <cellStyle name="Normal 42 2 2 12" xfId="2588" xr:uid="{00000000-0005-0000-0000-00001E0A0000}"/>
    <cellStyle name="Normal 42 2 2 13" xfId="2589" xr:uid="{00000000-0005-0000-0000-00001F0A0000}"/>
    <cellStyle name="Normal 42 2 2 14" xfId="2590" xr:uid="{00000000-0005-0000-0000-0000200A0000}"/>
    <cellStyle name="Normal 42 2 2 15" xfId="2591" xr:uid="{00000000-0005-0000-0000-0000210A0000}"/>
    <cellStyle name="Normal 42 2 2 16" xfId="2592" xr:uid="{00000000-0005-0000-0000-0000220A0000}"/>
    <cellStyle name="Normal 42 2 2 2" xfId="2593" xr:uid="{00000000-0005-0000-0000-0000230A0000}"/>
    <cellStyle name="Normal 42 2 2 3" xfId="2594" xr:uid="{00000000-0005-0000-0000-0000240A0000}"/>
    <cellStyle name="Normal 42 2 2 4" xfId="2595" xr:uid="{00000000-0005-0000-0000-0000250A0000}"/>
    <cellStyle name="Normal 42 2 2 5" xfId="2596" xr:uid="{00000000-0005-0000-0000-0000260A0000}"/>
    <cellStyle name="Normal 42 2 2 6" xfId="2597" xr:uid="{00000000-0005-0000-0000-0000270A0000}"/>
    <cellStyle name="Normal 42 2 2 7" xfId="2598" xr:uid="{00000000-0005-0000-0000-0000280A0000}"/>
    <cellStyle name="Normal 42 2 2 8" xfId="2599" xr:uid="{00000000-0005-0000-0000-0000290A0000}"/>
    <cellStyle name="Normal 42 2 2 9" xfId="2600" xr:uid="{00000000-0005-0000-0000-00002A0A0000}"/>
    <cellStyle name="Normal 42 2 3" xfId="2601" xr:uid="{00000000-0005-0000-0000-00002B0A0000}"/>
    <cellStyle name="Normal 42 2 4" xfId="2602" xr:uid="{00000000-0005-0000-0000-00002C0A0000}"/>
    <cellStyle name="Normal 42 2 4 2" xfId="2603" xr:uid="{00000000-0005-0000-0000-00002D0A0000}"/>
    <cellStyle name="Normal 42 2 4 3" xfId="2604" xr:uid="{00000000-0005-0000-0000-00002E0A0000}"/>
    <cellStyle name="Normal 42 2 4 4" xfId="2605" xr:uid="{00000000-0005-0000-0000-00002F0A0000}"/>
    <cellStyle name="Normal 42 2 4 5" xfId="2606" xr:uid="{00000000-0005-0000-0000-0000300A0000}"/>
    <cellStyle name="Normal 42 2 4 6" xfId="2607" xr:uid="{00000000-0005-0000-0000-0000310A0000}"/>
    <cellStyle name="Normal 42 2 4 7" xfId="2608" xr:uid="{00000000-0005-0000-0000-0000320A0000}"/>
    <cellStyle name="Normal 42 2 4 8" xfId="2609" xr:uid="{00000000-0005-0000-0000-0000330A0000}"/>
    <cellStyle name="Normal 42 2 5" xfId="2610" xr:uid="{00000000-0005-0000-0000-0000340A0000}"/>
    <cellStyle name="Normal 42 2 5 2" xfId="2611" xr:uid="{00000000-0005-0000-0000-0000350A0000}"/>
    <cellStyle name="Normal 42 2 5 3" xfId="2612" xr:uid="{00000000-0005-0000-0000-0000360A0000}"/>
    <cellStyle name="Normal 42 2 5 4" xfId="2613" xr:uid="{00000000-0005-0000-0000-0000370A0000}"/>
    <cellStyle name="Normal 42 2 5 5" xfId="2614" xr:uid="{00000000-0005-0000-0000-0000380A0000}"/>
    <cellStyle name="Normal 42 2 5 6" xfId="2615" xr:uid="{00000000-0005-0000-0000-0000390A0000}"/>
    <cellStyle name="Normal 42 2 5 7" xfId="2616" xr:uid="{00000000-0005-0000-0000-00003A0A0000}"/>
    <cellStyle name="Normal 42 2 5 8" xfId="2617" xr:uid="{00000000-0005-0000-0000-00003B0A0000}"/>
    <cellStyle name="Normal 42 2 6" xfId="2618" xr:uid="{00000000-0005-0000-0000-00003C0A0000}"/>
    <cellStyle name="Normal 42 2 6 2" xfId="2619" xr:uid="{00000000-0005-0000-0000-00003D0A0000}"/>
    <cellStyle name="Normal 42 2 6 3" xfId="2620" xr:uid="{00000000-0005-0000-0000-00003E0A0000}"/>
    <cellStyle name="Normal 42 2 6 4" xfId="2621" xr:uid="{00000000-0005-0000-0000-00003F0A0000}"/>
    <cellStyle name="Normal 42 2 6 5" xfId="2622" xr:uid="{00000000-0005-0000-0000-0000400A0000}"/>
    <cellStyle name="Normal 42 2 6 6" xfId="2623" xr:uid="{00000000-0005-0000-0000-0000410A0000}"/>
    <cellStyle name="Normal 42 2 6 7" xfId="2624" xr:uid="{00000000-0005-0000-0000-0000420A0000}"/>
    <cellStyle name="Normal 42 2 6 8" xfId="2625" xr:uid="{00000000-0005-0000-0000-0000430A0000}"/>
    <cellStyle name="Normal 42 2 7" xfId="2626" xr:uid="{00000000-0005-0000-0000-0000440A0000}"/>
    <cellStyle name="Normal 42 2 7 2" xfId="2627" xr:uid="{00000000-0005-0000-0000-0000450A0000}"/>
    <cellStyle name="Normal 42 2 7 3" xfId="2628" xr:uid="{00000000-0005-0000-0000-0000460A0000}"/>
    <cellStyle name="Normal 42 2 7 4" xfId="2629" xr:uid="{00000000-0005-0000-0000-0000470A0000}"/>
    <cellStyle name="Normal 42 2 7 5" xfId="2630" xr:uid="{00000000-0005-0000-0000-0000480A0000}"/>
    <cellStyle name="Normal 42 2 7 6" xfId="2631" xr:uid="{00000000-0005-0000-0000-0000490A0000}"/>
    <cellStyle name="Normal 42 2 7 7" xfId="2632" xr:uid="{00000000-0005-0000-0000-00004A0A0000}"/>
    <cellStyle name="Normal 42 2 7 8" xfId="2633" xr:uid="{00000000-0005-0000-0000-00004B0A0000}"/>
    <cellStyle name="Normal 42 2 8" xfId="2634" xr:uid="{00000000-0005-0000-0000-00004C0A0000}"/>
    <cellStyle name="Normal 42 2 8 2" xfId="2635" xr:uid="{00000000-0005-0000-0000-00004D0A0000}"/>
    <cellStyle name="Normal 42 2 8 3" xfId="2636" xr:uid="{00000000-0005-0000-0000-00004E0A0000}"/>
    <cellStyle name="Normal 42 2 8 4" xfId="2637" xr:uid="{00000000-0005-0000-0000-00004F0A0000}"/>
    <cellStyle name="Normal 42 2 8 5" xfId="2638" xr:uid="{00000000-0005-0000-0000-0000500A0000}"/>
    <cellStyle name="Normal 42 2 8 6" xfId="2639" xr:uid="{00000000-0005-0000-0000-0000510A0000}"/>
    <cellStyle name="Normal 42 2 8 7" xfId="2640" xr:uid="{00000000-0005-0000-0000-0000520A0000}"/>
    <cellStyle name="Normal 42 2 8 8" xfId="2641" xr:uid="{00000000-0005-0000-0000-0000530A0000}"/>
    <cellStyle name="Normal 42 2 9" xfId="2642" xr:uid="{00000000-0005-0000-0000-0000540A0000}"/>
    <cellStyle name="Normal 42 2 9 2" xfId="2643" xr:uid="{00000000-0005-0000-0000-0000550A0000}"/>
    <cellStyle name="Normal 42 2 9 3" xfId="2644" xr:uid="{00000000-0005-0000-0000-0000560A0000}"/>
    <cellStyle name="Normal 42 2 9 4" xfId="2645" xr:uid="{00000000-0005-0000-0000-0000570A0000}"/>
    <cellStyle name="Normal 42 2 9 5" xfId="2646" xr:uid="{00000000-0005-0000-0000-0000580A0000}"/>
    <cellStyle name="Normal 42 2 9 6" xfId="2647" xr:uid="{00000000-0005-0000-0000-0000590A0000}"/>
    <cellStyle name="Normal 42 2 9 7" xfId="2648" xr:uid="{00000000-0005-0000-0000-00005A0A0000}"/>
    <cellStyle name="Normal 42 2 9 8" xfId="2649" xr:uid="{00000000-0005-0000-0000-00005B0A0000}"/>
    <cellStyle name="Normal 42 3" xfId="2650" xr:uid="{00000000-0005-0000-0000-00005C0A0000}"/>
    <cellStyle name="Normal 42 3 10" xfId="2651" xr:uid="{00000000-0005-0000-0000-00005D0A0000}"/>
    <cellStyle name="Normal 42 3 10 2" xfId="2652" xr:uid="{00000000-0005-0000-0000-00005E0A0000}"/>
    <cellStyle name="Normal 42 3 10 3" xfId="2653" xr:uid="{00000000-0005-0000-0000-00005F0A0000}"/>
    <cellStyle name="Normal 42 3 10 4" xfId="2654" xr:uid="{00000000-0005-0000-0000-0000600A0000}"/>
    <cellStyle name="Normal 42 3 10 5" xfId="2655" xr:uid="{00000000-0005-0000-0000-0000610A0000}"/>
    <cellStyle name="Normal 42 3 10 6" xfId="2656" xr:uid="{00000000-0005-0000-0000-0000620A0000}"/>
    <cellStyle name="Normal 42 3 10 7" xfId="2657" xr:uid="{00000000-0005-0000-0000-0000630A0000}"/>
    <cellStyle name="Normal 42 3 10 8" xfId="2658" xr:uid="{00000000-0005-0000-0000-0000640A0000}"/>
    <cellStyle name="Normal 42 3 2" xfId="2659" xr:uid="{00000000-0005-0000-0000-0000650A0000}"/>
    <cellStyle name="Normal 42 3 2 10" xfId="2660" xr:uid="{00000000-0005-0000-0000-0000660A0000}"/>
    <cellStyle name="Normal 42 3 2 11" xfId="2661" xr:uid="{00000000-0005-0000-0000-0000670A0000}"/>
    <cellStyle name="Normal 42 3 2 12" xfId="2662" xr:uid="{00000000-0005-0000-0000-0000680A0000}"/>
    <cellStyle name="Normal 42 3 2 13" xfId="2663" xr:uid="{00000000-0005-0000-0000-0000690A0000}"/>
    <cellStyle name="Normal 42 3 2 14" xfId="2664" xr:uid="{00000000-0005-0000-0000-00006A0A0000}"/>
    <cellStyle name="Normal 42 3 2 15" xfId="2665" xr:uid="{00000000-0005-0000-0000-00006B0A0000}"/>
    <cellStyle name="Normal 42 3 2 16" xfId="2666" xr:uid="{00000000-0005-0000-0000-00006C0A0000}"/>
    <cellStyle name="Normal 42 3 2 2" xfId="2667" xr:uid="{00000000-0005-0000-0000-00006D0A0000}"/>
    <cellStyle name="Normal 42 3 2 3" xfId="2668" xr:uid="{00000000-0005-0000-0000-00006E0A0000}"/>
    <cellStyle name="Normal 42 3 2 4" xfId="2669" xr:uid="{00000000-0005-0000-0000-00006F0A0000}"/>
    <cellStyle name="Normal 42 3 2 5" xfId="2670" xr:uid="{00000000-0005-0000-0000-0000700A0000}"/>
    <cellStyle name="Normal 42 3 2 6" xfId="2671" xr:uid="{00000000-0005-0000-0000-0000710A0000}"/>
    <cellStyle name="Normal 42 3 2 7" xfId="2672" xr:uid="{00000000-0005-0000-0000-0000720A0000}"/>
    <cellStyle name="Normal 42 3 2 8" xfId="2673" xr:uid="{00000000-0005-0000-0000-0000730A0000}"/>
    <cellStyle name="Normal 42 3 2 9" xfId="2674" xr:uid="{00000000-0005-0000-0000-0000740A0000}"/>
    <cellStyle name="Normal 42 3 3" xfId="2675" xr:uid="{00000000-0005-0000-0000-0000750A0000}"/>
    <cellStyle name="Normal 42 3 4" xfId="2676" xr:uid="{00000000-0005-0000-0000-0000760A0000}"/>
    <cellStyle name="Normal 42 3 4 2" xfId="2677" xr:uid="{00000000-0005-0000-0000-0000770A0000}"/>
    <cellStyle name="Normal 42 3 4 3" xfId="2678" xr:uid="{00000000-0005-0000-0000-0000780A0000}"/>
    <cellStyle name="Normal 42 3 4 4" xfId="2679" xr:uid="{00000000-0005-0000-0000-0000790A0000}"/>
    <cellStyle name="Normal 42 3 4 5" xfId="2680" xr:uid="{00000000-0005-0000-0000-00007A0A0000}"/>
    <cellStyle name="Normal 42 3 4 6" xfId="2681" xr:uid="{00000000-0005-0000-0000-00007B0A0000}"/>
    <cellStyle name="Normal 42 3 4 7" xfId="2682" xr:uid="{00000000-0005-0000-0000-00007C0A0000}"/>
    <cellStyle name="Normal 42 3 4 8" xfId="2683" xr:uid="{00000000-0005-0000-0000-00007D0A0000}"/>
    <cellStyle name="Normal 42 3 5" xfId="2684" xr:uid="{00000000-0005-0000-0000-00007E0A0000}"/>
    <cellStyle name="Normal 42 3 5 2" xfId="2685" xr:uid="{00000000-0005-0000-0000-00007F0A0000}"/>
    <cellStyle name="Normal 42 3 5 3" xfId="2686" xr:uid="{00000000-0005-0000-0000-0000800A0000}"/>
    <cellStyle name="Normal 42 3 5 4" xfId="2687" xr:uid="{00000000-0005-0000-0000-0000810A0000}"/>
    <cellStyle name="Normal 42 3 5 5" xfId="2688" xr:uid="{00000000-0005-0000-0000-0000820A0000}"/>
    <cellStyle name="Normal 42 3 5 6" xfId="2689" xr:uid="{00000000-0005-0000-0000-0000830A0000}"/>
    <cellStyle name="Normal 42 3 5 7" xfId="2690" xr:uid="{00000000-0005-0000-0000-0000840A0000}"/>
    <cellStyle name="Normal 42 3 5 8" xfId="2691" xr:uid="{00000000-0005-0000-0000-0000850A0000}"/>
    <cellStyle name="Normal 42 3 6" xfId="2692" xr:uid="{00000000-0005-0000-0000-0000860A0000}"/>
    <cellStyle name="Normal 42 3 6 2" xfId="2693" xr:uid="{00000000-0005-0000-0000-0000870A0000}"/>
    <cellStyle name="Normal 42 3 6 3" xfId="2694" xr:uid="{00000000-0005-0000-0000-0000880A0000}"/>
    <cellStyle name="Normal 42 3 6 4" xfId="2695" xr:uid="{00000000-0005-0000-0000-0000890A0000}"/>
    <cellStyle name="Normal 42 3 6 5" xfId="2696" xr:uid="{00000000-0005-0000-0000-00008A0A0000}"/>
    <cellStyle name="Normal 42 3 6 6" xfId="2697" xr:uid="{00000000-0005-0000-0000-00008B0A0000}"/>
    <cellStyle name="Normal 42 3 6 7" xfId="2698" xr:uid="{00000000-0005-0000-0000-00008C0A0000}"/>
    <cellStyle name="Normal 42 3 6 8" xfId="2699" xr:uid="{00000000-0005-0000-0000-00008D0A0000}"/>
    <cellStyle name="Normal 42 3 7" xfId="2700" xr:uid="{00000000-0005-0000-0000-00008E0A0000}"/>
    <cellStyle name="Normal 42 3 7 2" xfId="2701" xr:uid="{00000000-0005-0000-0000-00008F0A0000}"/>
    <cellStyle name="Normal 42 3 7 3" xfId="2702" xr:uid="{00000000-0005-0000-0000-0000900A0000}"/>
    <cellStyle name="Normal 42 3 7 4" xfId="2703" xr:uid="{00000000-0005-0000-0000-0000910A0000}"/>
    <cellStyle name="Normal 42 3 7 5" xfId="2704" xr:uid="{00000000-0005-0000-0000-0000920A0000}"/>
    <cellStyle name="Normal 42 3 7 6" xfId="2705" xr:uid="{00000000-0005-0000-0000-0000930A0000}"/>
    <cellStyle name="Normal 42 3 7 7" xfId="2706" xr:uid="{00000000-0005-0000-0000-0000940A0000}"/>
    <cellStyle name="Normal 42 3 7 8" xfId="2707" xr:uid="{00000000-0005-0000-0000-0000950A0000}"/>
    <cellStyle name="Normal 42 3 8" xfId="2708" xr:uid="{00000000-0005-0000-0000-0000960A0000}"/>
    <cellStyle name="Normal 42 3 8 2" xfId="2709" xr:uid="{00000000-0005-0000-0000-0000970A0000}"/>
    <cellStyle name="Normal 42 3 8 3" xfId="2710" xr:uid="{00000000-0005-0000-0000-0000980A0000}"/>
    <cellStyle name="Normal 42 3 8 4" xfId="2711" xr:uid="{00000000-0005-0000-0000-0000990A0000}"/>
    <cellStyle name="Normal 42 3 8 5" xfId="2712" xr:uid="{00000000-0005-0000-0000-00009A0A0000}"/>
    <cellStyle name="Normal 42 3 8 6" xfId="2713" xr:uid="{00000000-0005-0000-0000-00009B0A0000}"/>
    <cellStyle name="Normal 42 3 8 7" xfId="2714" xr:uid="{00000000-0005-0000-0000-00009C0A0000}"/>
    <cellStyle name="Normal 42 3 8 8" xfId="2715" xr:uid="{00000000-0005-0000-0000-00009D0A0000}"/>
    <cellStyle name="Normal 42 3 9" xfId="2716" xr:uid="{00000000-0005-0000-0000-00009E0A0000}"/>
    <cellStyle name="Normal 42 3 9 2" xfId="2717" xr:uid="{00000000-0005-0000-0000-00009F0A0000}"/>
    <cellStyle name="Normal 42 3 9 3" xfId="2718" xr:uid="{00000000-0005-0000-0000-0000A00A0000}"/>
    <cellStyle name="Normal 42 3 9 4" xfId="2719" xr:uid="{00000000-0005-0000-0000-0000A10A0000}"/>
    <cellStyle name="Normal 42 3 9 5" xfId="2720" xr:uid="{00000000-0005-0000-0000-0000A20A0000}"/>
    <cellStyle name="Normal 42 3 9 6" xfId="2721" xr:uid="{00000000-0005-0000-0000-0000A30A0000}"/>
    <cellStyle name="Normal 42 3 9 7" xfId="2722" xr:uid="{00000000-0005-0000-0000-0000A40A0000}"/>
    <cellStyle name="Normal 42 3 9 8" xfId="2723" xr:uid="{00000000-0005-0000-0000-0000A50A0000}"/>
    <cellStyle name="Normal 44" xfId="2724" xr:uid="{00000000-0005-0000-0000-0000A60A0000}"/>
    <cellStyle name="Normal 44 2" xfId="3417" xr:uid="{00000000-0005-0000-0000-0000A70A0000}"/>
    <cellStyle name="Normal 45" xfId="2725" xr:uid="{00000000-0005-0000-0000-0000A80A0000}"/>
    <cellStyle name="Normal 45 2" xfId="2726" xr:uid="{00000000-0005-0000-0000-0000A90A0000}"/>
    <cellStyle name="Normal 45 3" xfId="2727" xr:uid="{00000000-0005-0000-0000-0000AA0A0000}"/>
    <cellStyle name="Normal 45 4" xfId="2728" xr:uid="{00000000-0005-0000-0000-0000AB0A0000}"/>
    <cellStyle name="Normal 45 5" xfId="2729" xr:uid="{00000000-0005-0000-0000-0000AC0A0000}"/>
    <cellStyle name="Normal 45 6" xfId="2730" xr:uid="{00000000-0005-0000-0000-0000AD0A0000}"/>
    <cellStyle name="Normal 45 7" xfId="2731" xr:uid="{00000000-0005-0000-0000-0000AE0A0000}"/>
    <cellStyle name="Normal 45 8" xfId="2732" xr:uid="{00000000-0005-0000-0000-0000AF0A0000}"/>
    <cellStyle name="Normal 46" xfId="2733" xr:uid="{00000000-0005-0000-0000-0000B00A0000}"/>
    <cellStyle name="Normal 46 2" xfId="2734" xr:uid="{00000000-0005-0000-0000-0000B10A0000}"/>
    <cellStyle name="Normal 46 3" xfId="2735" xr:uid="{00000000-0005-0000-0000-0000B20A0000}"/>
    <cellStyle name="Normal 46 4" xfId="2736" xr:uid="{00000000-0005-0000-0000-0000B30A0000}"/>
    <cellStyle name="Normal 46 5" xfId="2737" xr:uid="{00000000-0005-0000-0000-0000B40A0000}"/>
    <cellStyle name="Normal 46 6" xfId="2738" xr:uid="{00000000-0005-0000-0000-0000B50A0000}"/>
    <cellStyle name="Normal 46 7" xfId="2739" xr:uid="{00000000-0005-0000-0000-0000B60A0000}"/>
    <cellStyle name="Normal 46 8" xfId="2740" xr:uid="{00000000-0005-0000-0000-0000B70A0000}"/>
    <cellStyle name="Normal 47" xfId="2741" xr:uid="{00000000-0005-0000-0000-0000B80A0000}"/>
    <cellStyle name="Normal 47 2" xfId="2742" xr:uid="{00000000-0005-0000-0000-0000B90A0000}"/>
    <cellStyle name="Normal 47 3" xfId="2743" xr:uid="{00000000-0005-0000-0000-0000BA0A0000}"/>
    <cellStyle name="Normal 47 4" xfId="2744" xr:uid="{00000000-0005-0000-0000-0000BB0A0000}"/>
    <cellStyle name="Normal 47 5" xfId="2745" xr:uid="{00000000-0005-0000-0000-0000BC0A0000}"/>
    <cellStyle name="Normal 47 6" xfId="2746" xr:uid="{00000000-0005-0000-0000-0000BD0A0000}"/>
    <cellStyle name="Normal 47 7" xfId="2747" xr:uid="{00000000-0005-0000-0000-0000BE0A0000}"/>
    <cellStyle name="Normal 47 8" xfId="2748" xr:uid="{00000000-0005-0000-0000-0000BF0A0000}"/>
    <cellStyle name="Normal 48" xfId="2749" xr:uid="{00000000-0005-0000-0000-0000C00A0000}"/>
    <cellStyle name="Normal 48 2" xfId="2750" xr:uid="{00000000-0005-0000-0000-0000C10A0000}"/>
    <cellStyle name="Normal 48 3" xfId="2751" xr:uid="{00000000-0005-0000-0000-0000C20A0000}"/>
    <cellStyle name="Normal 48 4" xfId="2752" xr:uid="{00000000-0005-0000-0000-0000C30A0000}"/>
    <cellStyle name="Normal 48 5" xfId="2753" xr:uid="{00000000-0005-0000-0000-0000C40A0000}"/>
    <cellStyle name="Normal 48 6" xfId="2754" xr:uid="{00000000-0005-0000-0000-0000C50A0000}"/>
    <cellStyle name="Normal 48 7" xfId="2755" xr:uid="{00000000-0005-0000-0000-0000C60A0000}"/>
    <cellStyle name="Normal 48 8" xfId="2756" xr:uid="{00000000-0005-0000-0000-0000C70A0000}"/>
    <cellStyle name="Normal 49" xfId="2757" xr:uid="{00000000-0005-0000-0000-0000C80A0000}"/>
    <cellStyle name="Normal 5" xfId="2758" xr:uid="{00000000-0005-0000-0000-0000C90A0000}"/>
    <cellStyle name="Normal 5 2" xfId="2759" xr:uid="{00000000-0005-0000-0000-0000CA0A0000}"/>
    <cellStyle name="Normal 5 2 10" xfId="2760" xr:uid="{00000000-0005-0000-0000-0000CB0A0000}"/>
    <cellStyle name="Normal 5 2 2" xfId="2761" xr:uid="{00000000-0005-0000-0000-0000CC0A0000}"/>
    <cellStyle name="Normal 5 2 3" xfId="2762" xr:uid="{00000000-0005-0000-0000-0000CD0A0000}"/>
    <cellStyle name="Normal 5 2 4" xfId="2763" xr:uid="{00000000-0005-0000-0000-0000CE0A0000}"/>
    <cellStyle name="Normal 5 2 5" xfId="2764" xr:uid="{00000000-0005-0000-0000-0000CF0A0000}"/>
    <cellStyle name="Normal 5 2 6" xfId="2765" xr:uid="{00000000-0005-0000-0000-0000D00A0000}"/>
    <cellStyle name="Normal 5 2 7" xfId="2766" xr:uid="{00000000-0005-0000-0000-0000D10A0000}"/>
    <cellStyle name="Normal 5 2 8" xfId="2767" xr:uid="{00000000-0005-0000-0000-0000D20A0000}"/>
    <cellStyle name="Normal 5 2 9" xfId="2768" xr:uid="{00000000-0005-0000-0000-0000D30A0000}"/>
    <cellStyle name="Normal 5 3" xfId="2769" xr:uid="{00000000-0005-0000-0000-0000D40A0000}"/>
    <cellStyle name="Normal 5 3 10" xfId="2770" xr:uid="{00000000-0005-0000-0000-0000D50A0000}"/>
    <cellStyle name="Normal 5 3 2" xfId="2771" xr:uid="{00000000-0005-0000-0000-0000D60A0000}"/>
    <cellStyle name="Normal 5 3 3" xfId="2772" xr:uid="{00000000-0005-0000-0000-0000D70A0000}"/>
    <cellStyle name="Normal 5 3 4" xfId="2773" xr:uid="{00000000-0005-0000-0000-0000D80A0000}"/>
    <cellStyle name="Normal 5 3 5" xfId="2774" xr:uid="{00000000-0005-0000-0000-0000D90A0000}"/>
    <cellStyle name="Normal 5 3 6" xfId="2775" xr:uid="{00000000-0005-0000-0000-0000DA0A0000}"/>
    <cellStyle name="Normal 5 3 7" xfId="2776" xr:uid="{00000000-0005-0000-0000-0000DB0A0000}"/>
    <cellStyle name="Normal 5 3 8" xfId="2777" xr:uid="{00000000-0005-0000-0000-0000DC0A0000}"/>
    <cellStyle name="Normal 5 3 9" xfId="2778" xr:uid="{00000000-0005-0000-0000-0000DD0A0000}"/>
    <cellStyle name="Normal 5 4" xfId="2779" xr:uid="{00000000-0005-0000-0000-0000DE0A0000}"/>
    <cellStyle name="Normal 5 4 10" xfId="2780" xr:uid="{00000000-0005-0000-0000-0000DF0A0000}"/>
    <cellStyle name="Normal 5 4 2" xfId="2781" xr:uid="{00000000-0005-0000-0000-0000E00A0000}"/>
    <cellStyle name="Normal 5 4 3" xfId="2782" xr:uid="{00000000-0005-0000-0000-0000E10A0000}"/>
    <cellStyle name="Normal 5 4 4" xfId="2783" xr:uid="{00000000-0005-0000-0000-0000E20A0000}"/>
    <cellStyle name="Normal 5 4 5" xfId="2784" xr:uid="{00000000-0005-0000-0000-0000E30A0000}"/>
    <cellStyle name="Normal 5 4 6" xfId="2785" xr:uid="{00000000-0005-0000-0000-0000E40A0000}"/>
    <cellStyle name="Normal 5 4 7" xfId="2786" xr:uid="{00000000-0005-0000-0000-0000E50A0000}"/>
    <cellStyle name="Normal 5 4 8" xfId="2787" xr:uid="{00000000-0005-0000-0000-0000E60A0000}"/>
    <cellStyle name="Normal 5 4 9" xfId="2788" xr:uid="{00000000-0005-0000-0000-0000E70A0000}"/>
    <cellStyle name="Normal 5 5" xfId="2789" xr:uid="{00000000-0005-0000-0000-0000E80A0000}"/>
    <cellStyle name="Normal 5 5 10" xfId="2790" xr:uid="{00000000-0005-0000-0000-0000E90A0000}"/>
    <cellStyle name="Normal 5 5 2" xfId="2791" xr:uid="{00000000-0005-0000-0000-0000EA0A0000}"/>
    <cellStyle name="Normal 5 5 3" xfId="2792" xr:uid="{00000000-0005-0000-0000-0000EB0A0000}"/>
    <cellStyle name="Normal 5 5 4" xfId="2793" xr:uid="{00000000-0005-0000-0000-0000EC0A0000}"/>
    <cellStyle name="Normal 5 5 5" xfId="2794" xr:uid="{00000000-0005-0000-0000-0000ED0A0000}"/>
    <cellStyle name="Normal 5 5 6" xfId="2795" xr:uid="{00000000-0005-0000-0000-0000EE0A0000}"/>
    <cellStyle name="Normal 5 5 7" xfId="2796" xr:uid="{00000000-0005-0000-0000-0000EF0A0000}"/>
    <cellStyle name="Normal 5 5 8" xfId="2797" xr:uid="{00000000-0005-0000-0000-0000F00A0000}"/>
    <cellStyle name="Normal 5 5 9" xfId="2798" xr:uid="{00000000-0005-0000-0000-0000F10A0000}"/>
    <cellStyle name="Normal 5 6" xfId="2799" xr:uid="{00000000-0005-0000-0000-0000F20A0000}"/>
    <cellStyle name="Normal 5 6 2" xfId="2800" xr:uid="{00000000-0005-0000-0000-0000F30A0000}"/>
    <cellStyle name="Normal 5 6 3" xfId="2801" xr:uid="{00000000-0005-0000-0000-0000F40A0000}"/>
    <cellStyle name="Normal 5 6 4" xfId="2802" xr:uid="{00000000-0005-0000-0000-0000F50A0000}"/>
    <cellStyle name="Normal 5 6 5" xfId="2803" xr:uid="{00000000-0005-0000-0000-0000F60A0000}"/>
    <cellStyle name="Normal 5 6 6" xfId="2804" xr:uid="{00000000-0005-0000-0000-0000F70A0000}"/>
    <cellStyle name="Normal 5 6 7" xfId="2805" xr:uid="{00000000-0005-0000-0000-0000F80A0000}"/>
    <cellStyle name="Normal 5 6 8" xfId="2806" xr:uid="{00000000-0005-0000-0000-0000F90A0000}"/>
    <cellStyle name="Normal 5 6 9" xfId="2807" xr:uid="{00000000-0005-0000-0000-0000FA0A0000}"/>
    <cellStyle name="Normal 5 7" xfId="2808" xr:uid="{00000000-0005-0000-0000-0000FB0A0000}"/>
    <cellStyle name="Normal 5 7 2" xfId="2809" xr:uid="{00000000-0005-0000-0000-0000FC0A0000}"/>
    <cellStyle name="Normal 5 7 3" xfId="2810" xr:uid="{00000000-0005-0000-0000-0000FD0A0000}"/>
    <cellStyle name="Normal 5 7 4" xfId="2811" xr:uid="{00000000-0005-0000-0000-0000FE0A0000}"/>
    <cellStyle name="Normal 5 7 5" xfId="2812" xr:uid="{00000000-0005-0000-0000-0000FF0A0000}"/>
    <cellStyle name="Normal 5 7 6" xfId="2813" xr:uid="{00000000-0005-0000-0000-0000000B0000}"/>
    <cellStyle name="Normal 5 7 7" xfId="2814" xr:uid="{00000000-0005-0000-0000-0000010B0000}"/>
    <cellStyle name="Normal 5 7 8" xfId="2815" xr:uid="{00000000-0005-0000-0000-0000020B0000}"/>
    <cellStyle name="Normal 5 7 9" xfId="2816" xr:uid="{00000000-0005-0000-0000-0000030B0000}"/>
    <cellStyle name="Normal 5 8" xfId="2817" xr:uid="{00000000-0005-0000-0000-0000040B0000}"/>
    <cellStyle name="Normal 5 9" xfId="2818" xr:uid="{00000000-0005-0000-0000-0000050B0000}"/>
    <cellStyle name="Normal 51" xfId="2819" xr:uid="{00000000-0005-0000-0000-0000060B0000}"/>
    <cellStyle name="Normal 52" xfId="2820" xr:uid="{00000000-0005-0000-0000-0000070B0000}"/>
    <cellStyle name="Normal 52 2" xfId="2821" xr:uid="{00000000-0005-0000-0000-0000080B0000}"/>
    <cellStyle name="Normal 52 3" xfId="2822" xr:uid="{00000000-0005-0000-0000-0000090B0000}"/>
    <cellStyle name="Normal 52 4" xfId="2823" xr:uid="{00000000-0005-0000-0000-00000A0B0000}"/>
    <cellStyle name="Normal 52 5" xfId="2824" xr:uid="{00000000-0005-0000-0000-00000B0B0000}"/>
    <cellStyle name="Normal 52 6" xfId="2825" xr:uid="{00000000-0005-0000-0000-00000C0B0000}"/>
    <cellStyle name="Normal 52 7" xfId="2826" xr:uid="{00000000-0005-0000-0000-00000D0B0000}"/>
    <cellStyle name="Normal 52 8" xfId="2827" xr:uid="{00000000-0005-0000-0000-00000E0B0000}"/>
    <cellStyle name="Normal 53" xfId="2828" xr:uid="{00000000-0005-0000-0000-00000F0B0000}"/>
    <cellStyle name="Normal 53 2" xfId="2829" xr:uid="{00000000-0005-0000-0000-0000100B0000}"/>
    <cellStyle name="Normal 53 3" xfId="2830" xr:uid="{00000000-0005-0000-0000-0000110B0000}"/>
    <cellStyle name="Normal 53 4" xfId="2831" xr:uid="{00000000-0005-0000-0000-0000120B0000}"/>
    <cellStyle name="Normal 53 5" xfId="2832" xr:uid="{00000000-0005-0000-0000-0000130B0000}"/>
    <cellStyle name="Normal 53 6" xfId="2833" xr:uid="{00000000-0005-0000-0000-0000140B0000}"/>
    <cellStyle name="Normal 53 7" xfId="2834" xr:uid="{00000000-0005-0000-0000-0000150B0000}"/>
    <cellStyle name="Normal 53 8" xfId="2835" xr:uid="{00000000-0005-0000-0000-0000160B0000}"/>
    <cellStyle name="Normal 54" xfId="2836" xr:uid="{00000000-0005-0000-0000-0000170B0000}"/>
    <cellStyle name="Normal 54 2" xfId="3419" xr:uid="{00000000-0005-0000-0000-0000180B0000}"/>
    <cellStyle name="Normal 55" xfId="2837" xr:uid="{00000000-0005-0000-0000-0000190B0000}"/>
    <cellStyle name="Normal 56" xfId="2838" xr:uid="{00000000-0005-0000-0000-00001A0B0000}"/>
    <cellStyle name="Normal 57" xfId="2839" xr:uid="{00000000-0005-0000-0000-00001B0B0000}"/>
    <cellStyle name="Normal 57 2" xfId="3416" xr:uid="{00000000-0005-0000-0000-00001C0B0000}"/>
    <cellStyle name="Normal 59" xfId="2840" xr:uid="{00000000-0005-0000-0000-00001D0B0000}"/>
    <cellStyle name="Normal 6" xfId="2841" xr:uid="{00000000-0005-0000-0000-00001E0B0000}"/>
    <cellStyle name="Normal 6 2" xfId="2842" xr:uid="{00000000-0005-0000-0000-00001F0B0000}"/>
    <cellStyle name="Normal 6 2 10" xfId="2843" xr:uid="{00000000-0005-0000-0000-0000200B0000}"/>
    <cellStyle name="Normal 6 2 2" xfId="2844" xr:uid="{00000000-0005-0000-0000-0000210B0000}"/>
    <cellStyle name="Normal 6 2 3" xfId="2845" xr:uid="{00000000-0005-0000-0000-0000220B0000}"/>
    <cellStyle name="Normal 6 2 4" xfId="2846" xr:uid="{00000000-0005-0000-0000-0000230B0000}"/>
    <cellStyle name="Normal 6 2 5" xfId="2847" xr:uid="{00000000-0005-0000-0000-0000240B0000}"/>
    <cellStyle name="Normal 6 2 6" xfId="2848" xr:uid="{00000000-0005-0000-0000-0000250B0000}"/>
    <cellStyle name="Normal 6 2 7" xfId="2849" xr:uid="{00000000-0005-0000-0000-0000260B0000}"/>
    <cellStyle name="Normal 6 2 8" xfId="2850" xr:uid="{00000000-0005-0000-0000-0000270B0000}"/>
    <cellStyle name="Normal 6 2 9" xfId="2851" xr:uid="{00000000-0005-0000-0000-0000280B0000}"/>
    <cellStyle name="Normal 6 3" xfId="2852" xr:uid="{00000000-0005-0000-0000-0000290B0000}"/>
    <cellStyle name="Normal 6 3 10" xfId="2853" xr:uid="{00000000-0005-0000-0000-00002A0B0000}"/>
    <cellStyle name="Normal 6 3 2" xfId="2854" xr:uid="{00000000-0005-0000-0000-00002B0B0000}"/>
    <cellStyle name="Normal 6 3 3" xfId="2855" xr:uid="{00000000-0005-0000-0000-00002C0B0000}"/>
    <cellStyle name="Normal 6 3 4" xfId="2856" xr:uid="{00000000-0005-0000-0000-00002D0B0000}"/>
    <cellStyle name="Normal 6 3 5" xfId="2857" xr:uid="{00000000-0005-0000-0000-00002E0B0000}"/>
    <cellStyle name="Normal 6 3 6" xfId="2858" xr:uid="{00000000-0005-0000-0000-00002F0B0000}"/>
    <cellStyle name="Normal 6 3 7" xfId="2859" xr:uid="{00000000-0005-0000-0000-0000300B0000}"/>
    <cellStyle name="Normal 6 3 8" xfId="2860" xr:uid="{00000000-0005-0000-0000-0000310B0000}"/>
    <cellStyle name="Normal 6 3 9" xfId="2861" xr:uid="{00000000-0005-0000-0000-0000320B0000}"/>
    <cellStyle name="Normal 6 4" xfId="2862" xr:uid="{00000000-0005-0000-0000-0000330B0000}"/>
    <cellStyle name="Normal 6 4 10" xfId="2863" xr:uid="{00000000-0005-0000-0000-0000340B0000}"/>
    <cellStyle name="Normal 6 4 2" xfId="2864" xr:uid="{00000000-0005-0000-0000-0000350B0000}"/>
    <cellStyle name="Normal 6 4 3" xfId="2865" xr:uid="{00000000-0005-0000-0000-0000360B0000}"/>
    <cellStyle name="Normal 6 4 4" xfId="2866" xr:uid="{00000000-0005-0000-0000-0000370B0000}"/>
    <cellStyle name="Normal 6 4 5" xfId="2867" xr:uid="{00000000-0005-0000-0000-0000380B0000}"/>
    <cellStyle name="Normal 6 4 6" xfId="2868" xr:uid="{00000000-0005-0000-0000-0000390B0000}"/>
    <cellStyle name="Normal 6 4 7" xfId="2869" xr:uid="{00000000-0005-0000-0000-00003A0B0000}"/>
    <cellStyle name="Normal 6 4 8" xfId="2870" xr:uid="{00000000-0005-0000-0000-00003B0B0000}"/>
    <cellStyle name="Normal 6 4 9" xfId="2871" xr:uid="{00000000-0005-0000-0000-00003C0B0000}"/>
    <cellStyle name="Normal 6 5" xfId="2872" xr:uid="{00000000-0005-0000-0000-00003D0B0000}"/>
    <cellStyle name="Normal 6 5 10" xfId="2873" xr:uid="{00000000-0005-0000-0000-00003E0B0000}"/>
    <cellStyle name="Normal 6 5 2" xfId="2874" xr:uid="{00000000-0005-0000-0000-00003F0B0000}"/>
    <cellStyle name="Normal 6 5 3" xfId="2875" xr:uid="{00000000-0005-0000-0000-0000400B0000}"/>
    <cellStyle name="Normal 6 5 4" xfId="2876" xr:uid="{00000000-0005-0000-0000-0000410B0000}"/>
    <cellStyle name="Normal 6 5 5" xfId="2877" xr:uid="{00000000-0005-0000-0000-0000420B0000}"/>
    <cellStyle name="Normal 6 5 6" xfId="2878" xr:uid="{00000000-0005-0000-0000-0000430B0000}"/>
    <cellStyle name="Normal 6 5 7" xfId="2879" xr:uid="{00000000-0005-0000-0000-0000440B0000}"/>
    <cellStyle name="Normal 6 5 8" xfId="2880" xr:uid="{00000000-0005-0000-0000-0000450B0000}"/>
    <cellStyle name="Normal 6 5 9" xfId="2881" xr:uid="{00000000-0005-0000-0000-0000460B0000}"/>
    <cellStyle name="Normal 6 6" xfId="2882" xr:uid="{00000000-0005-0000-0000-0000470B0000}"/>
    <cellStyle name="Normal 6 6 2" xfId="2883" xr:uid="{00000000-0005-0000-0000-0000480B0000}"/>
    <cellStyle name="Normal 6 6 3" xfId="2884" xr:uid="{00000000-0005-0000-0000-0000490B0000}"/>
    <cellStyle name="Normal 6 6 4" xfId="2885" xr:uid="{00000000-0005-0000-0000-00004A0B0000}"/>
    <cellStyle name="Normal 6 6 5" xfId="2886" xr:uid="{00000000-0005-0000-0000-00004B0B0000}"/>
    <cellStyle name="Normal 6 6 6" xfId="2887" xr:uid="{00000000-0005-0000-0000-00004C0B0000}"/>
    <cellStyle name="Normal 6 6 7" xfId="2888" xr:uid="{00000000-0005-0000-0000-00004D0B0000}"/>
    <cellStyle name="Normal 6 6 8" xfId="2889" xr:uid="{00000000-0005-0000-0000-00004E0B0000}"/>
    <cellStyle name="Normal 6 6 9" xfId="2890" xr:uid="{00000000-0005-0000-0000-00004F0B0000}"/>
    <cellStyle name="Normal 6 7" xfId="2891" xr:uid="{00000000-0005-0000-0000-0000500B0000}"/>
    <cellStyle name="Normal 6 7 2" xfId="2892" xr:uid="{00000000-0005-0000-0000-0000510B0000}"/>
    <cellStyle name="Normal 6 7 3" xfId="2893" xr:uid="{00000000-0005-0000-0000-0000520B0000}"/>
    <cellStyle name="Normal 6 7 4" xfId="2894" xr:uid="{00000000-0005-0000-0000-0000530B0000}"/>
    <cellStyle name="Normal 6 7 5" xfId="2895" xr:uid="{00000000-0005-0000-0000-0000540B0000}"/>
    <cellStyle name="Normal 6 7 6" xfId="2896" xr:uid="{00000000-0005-0000-0000-0000550B0000}"/>
    <cellStyle name="Normal 6 7 7" xfId="2897" xr:uid="{00000000-0005-0000-0000-0000560B0000}"/>
    <cellStyle name="Normal 6 7 8" xfId="2898" xr:uid="{00000000-0005-0000-0000-0000570B0000}"/>
    <cellStyle name="Normal 6 7 9" xfId="2899" xr:uid="{00000000-0005-0000-0000-0000580B0000}"/>
    <cellStyle name="Normal 6 8" xfId="2900" xr:uid="{00000000-0005-0000-0000-0000590B0000}"/>
    <cellStyle name="Normal 6 9" xfId="2901" xr:uid="{00000000-0005-0000-0000-00005A0B0000}"/>
    <cellStyle name="Normal 61" xfId="2902" xr:uid="{00000000-0005-0000-0000-00005B0B0000}"/>
    <cellStyle name="Normal 62" xfId="2903" xr:uid="{00000000-0005-0000-0000-00005C0B0000}"/>
    <cellStyle name="Normal 7" xfId="2904" xr:uid="{00000000-0005-0000-0000-00005D0B0000}"/>
    <cellStyle name="Normal 7 2" xfId="2905" xr:uid="{00000000-0005-0000-0000-00005E0B0000}"/>
    <cellStyle name="Normal 7 2 10" xfId="2906" xr:uid="{00000000-0005-0000-0000-00005F0B0000}"/>
    <cellStyle name="Normal 7 2 2" xfId="2907" xr:uid="{00000000-0005-0000-0000-0000600B0000}"/>
    <cellStyle name="Normal 7 2 3" xfId="2908" xr:uid="{00000000-0005-0000-0000-0000610B0000}"/>
    <cellStyle name="Normal 7 2 4" xfId="2909" xr:uid="{00000000-0005-0000-0000-0000620B0000}"/>
    <cellStyle name="Normal 7 2 5" xfId="2910" xr:uid="{00000000-0005-0000-0000-0000630B0000}"/>
    <cellStyle name="Normal 7 2 6" xfId="2911" xr:uid="{00000000-0005-0000-0000-0000640B0000}"/>
    <cellStyle name="Normal 7 2 7" xfId="2912" xr:uid="{00000000-0005-0000-0000-0000650B0000}"/>
    <cellStyle name="Normal 7 2 8" xfId="2913" xr:uid="{00000000-0005-0000-0000-0000660B0000}"/>
    <cellStyle name="Normal 7 2 9" xfId="2914" xr:uid="{00000000-0005-0000-0000-0000670B0000}"/>
    <cellStyle name="Normal 7 3" xfId="2915" xr:uid="{00000000-0005-0000-0000-0000680B0000}"/>
    <cellStyle name="Normal 7 3 10" xfId="2916" xr:uid="{00000000-0005-0000-0000-0000690B0000}"/>
    <cellStyle name="Normal 7 3 2" xfId="2917" xr:uid="{00000000-0005-0000-0000-00006A0B0000}"/>
    <cellStyle name="Normal 7 3 3" xfId="2918" xr:uid="{00000000-0005-0000-0000-00006B0B0000}"/>
    <cellStyle name="Normal 7 3 4" xfId="2919" xr:uid="{00000000-0005-0000-0000-00006C0B0000}"/>
    <cellStyle name="Normal 7 3 5" xfId="2920" xr:uid="{00000000-0005-0000-0000-00006D0B0000}"/>
    <cellStyle name="Normal 7 3 6" xfId="2921" xr:uid="{00000000-0005-0000-0000-00006E0B0000}"/>
    <cellStyle name="Normal 7 3 7" xfId="2922" xr:uid="{00000000-0005-0000-0000-00006F0B0000}"/>
    <cellStyle name="Normal 7 3 8" xfId="2923" xr:uid="{00000000-0005-0000-0000-0000700B0000}"/>
    <cellStyle name="Normal 7 3 9" xfId="2924" xr:uid="{00000000-0005-0000-0000-0000710B0000}"/>
    <cellStyle name="Normal 7 4" xfId="2925" xr:uid="{00000000-0005-0000-0000-0000720B0000}"/>
    <cellStyle name="Normal 7 4 10" xfId="2926" xr:uid="{00000000-0005-0000-0000-0000730B0000}"/>
    <cellStyle name="Normal 7 4 2" xfId="2927" xr:uid="{00000000-0005-0000-0000-0000740B0000}"/>
    <cellStyle name="Normal 7 4 3" xfId="2928" xr:uid="{00000000-0005-0000-0000-0000750B0000}"/>
    <cellStyle name="Normal 7 4 4" xfId="2929" xr:uid="{00000000-0005-0000-0000-0000760B0000}"/>
    <cellStyle name="Normal 7 4 5" xfId="2930" xr:uid="{00000000-0005-0000-0000-0000770B0000}"/>
    <cellStyle name="Normal 7 4 6" xfId="2931" xr:uid="{00000000-0005-0000-0000-0000780B0000}"/>
    <cellStyle name="Normal 7 4 7" xfId="2932" xr:uid="{00000000-0005-0000-0000-0000790B0000}"/>
    <cellStyle name="Normal 7 4 8" xfId="2933" xr:uid="{00000000-0005-0000-0000-00007A0B0000}"/>
    <cellStyle name="Normal 7 4 9" xfId="2934" xr:uid="{00000000-0005-0000-0000-00007B0B0000}"/>
    <cellStyle name="Normal 7 5" xfId="2935" xr:uid="{00000000-0005-0000-0000-00007C0B0000}"/>
    <cellStyle name="Normal 7 5 10" xfId="2936" xr:uid="{00000000-0005-0000-0000-00007D0B0000}"/>
    <cellStyle name="Normal 7 5 2" xfId="2937" xr:uid="{00000000-0005-0000-0000-00007E0B0000}"/>
    <cellStyle name="Normal 7 5 3" xfId="2938" xr:uid="{00000000-0005-0000-0000-00007F0B0000}"/>
    <cellStyle name="Normal 7 5 4" xfId="2939" xr:uid="{00000000-0005-0000-0000-0000800B0000}"/>
    <cellStyle name="Normal 7 5 5" xfId="2940" xr:uid="{00000000-0005-0000-0000-0000810B0000}"/>
    <cellStyle name="Normal 7 5 6" xfId="2941" xr:uid="{00000000-0005-0000-0000-0000820B0000}"/>
    <cellStyle name="Normal 7 5 7" xfId="2942" xr:uid="{00000000-0005-0000-0000-0000830B0000}"/>
    <cellStyle name="Normal 7 5 8" xfId="2943" xr:uid="{00000000-0005-0000-0000-0000840B0000}"/>
    <cellStyle name="Normal 7 5 9" xfId="2944" xr:uid="{00000000-0005-0000-0000-0000850B0000}"/>
    <cellStyle name="Normal 7 6" xfId="2945" xr:uid="{00000000-0005-0000-0000-0000860B0000}"/>
    <cellStyle name="Normal 7 6 2" xfId="2946" xr:uid="{00000000-0005-0000-0000-0000870B0000}"/>
    <cellStyle name="Normal 7 6 3" xfId="2947" xr:uid="{00000000-0005-0000-0000-0000880B0000}"/>
    <cellStyle name="Normal 7 6 4" xfId="2948" xr:uid="{00000000-0005-0000-0000-0000890B0000}"/>
    <cellStyle name="Normal 7 6 5" xfId="2949" xr:uid="{00000000-0005-0000-0000-00008A0B0000}"/>
    <cellStyle name="Normal 7 6 6" xfId="2950" xr:uid="{00000000-0005-0000-0000-00008B0B0000}"/>
    <cellStyle name="Normal 7 6 7" xfId="2951" xr:uid="{00000000-0005-0000-0000-00008C0B0000}"/>
    <cellStyle name="Normal 7 6 8" xfId="2952" xr:uid="{00000000-0005-0000-0000-00008D0B0000}"/>
    <cellStyle name="Normal 7 6 9" xfId="2953" xr:uid="{00000000-0005-0000-0000-00008E0B0000}"/>
    <cellStyle name="Normal 7 7" xfId="2954" xr:uid="{00000000-0005-0000-0000-00008F0B0000}"/>
    <cellStyle name="Normal 7 7 2" xfId="2955" xr:uid="{00000000-0005-0000-0000-0000900B0000}"/>
    <cellStyle name="Normal 7 7 3" xfId="2956" xr:uid="{00000000-0005-0000-0000-0000910B0000}"/>
    <cellStyle name="Normal 7 7 4" xfId="2957" xr:uid="{00000000-0005-0000-0000-0000920B0000}"/>
    <cellStyle name="Normal 7 7 5" xfId="2958" xr:uid="{00000000-0005-0000-0000-0000930B0000}"/>
    <cellStyle name="Normal 7 7 6" xfId="2959" xr:uid="{00000000-0005-0000-0000-0000940B0000}"/>
    <cellStyle name="Normal 7 7 7" xfId="2960" xr:uid="{00000000-0005-0000-0000-0000950B0000}"/>
    <cellStyle name="Normal 7 7 8" xfId="2961" xr:uid="{00000000-0005-0000-0000-0000960B0000}"/>
    <cellStyle name="Normal 7 7 9" xfId="2962" xr:uid="{00000000-0005-0000-0000-0000970B0000}"/>
    <cellStyle name="Normal 7 8" xfId="2963" xr:uid="{00000000-0005-0000-0000-0000980B0000}"/>
    <cellStyle name="Normal 7 9" xfId="2964" xr:uid="{00000000-0005-0000-0000-0000990B0000}"/>
    <cellStyle name="Normal 8" xfId="2965" xr:uid="{00000000-0005-0000-0000-00009A0B0000}"/>
    <cellStyle name="Normal 9" xfId="2966" xr:uid="{00000000-0005-0000-0000-00009B0B0000}"/>
    <cellStyle name="Normal 9 2" xfId="2967" xr:uid="{00000000-0005-0000-0000-00009C0B0000}"/>
    <cellStyle name="Normal 9 2 10" xfId="2968" xr:uid="{00000000-0005-0000-0000-00009D0B0000}"/>
    <cellStyle name="Normal 9 2 2" xfId="2969" xr:uid="{00000000-0005-0000-0000-00009E0B0000}"/>
    <cellStyle name="Normal 9 2 3" xfId="2970" xr:uid="{00000000-0005-0000-0000-00009F0B0000}"/>
    <cellStyle name="Normal 9 2 4" xfId="2971" xr:uid="{00000000-0005-0000-0000-0000A00B0000}"/>
    <cellStyle name="Normal 9 2 5" xfId="2972" xr:uid="{00000000-0005-0000-0000-0000A10B0000}"/>
    <cellStyle name="Normal 9 2 6" xfId="2973" xr:uid="{00000000-0005-0000-0000-0000A20B0000}"/>
    <cellStyle name="Normal 9 2 7" xfId="2974" xr:uid="{00000000-0005-0000-0000-0000A30B0000}"/>
    <cellStyle name="Normal 9 2 8" xfId="2975" xr:uid="{00000000-0005-0000-0000-0000A40B0000}"/>
    <cellStyle name="Normal 9 2 9" xfId="2976" xr:uid="{00000000-0005-0000-0000-0000A50B0000}"/>
    <cellStyle name="Normal 9 3" xfId="2977" xr:uid="{00000000-0005-0000-0000-0000A60B0000}"/>
    <cellStyle name="Normal 9 3 10" xfId="2978" xr:uid="{00000000-0005-0000-0000-0000A70B0000}"/>
    <cellStyle name="Normal 9 3 2" xfId="2979" xr:uid="{00000000-0005-0000-0000-0000A80B0000}"/>
    <cellStyle name="Normal 9 3 3" xfId="2980" xr:uid="{00000000-0005-0000-0000-0000A90B0000}"/>
    <cellStyle name="Normal 9 3 4" xfId="2981" xr:uid="{00000000-0005-0000-0000-0000AA0B0000}"/>
    <cellStyle name="Normal 9 3 5" xfId="2982" xr:uid="{00000000-0005-0000-0000-0000AB0B0000}"/>
    <cellStyle name="Normal 9 3 6" xfId="2983" xr:uid="{00000000-0005-0000-0000-0000AC0B0000}"/>
    <cellStyle name="Normal 9 3 7" xfId="2984" xr:uid="{00000000-0005-0000-0000-0000AD0B0000}"/>
    <cellStyle name="Normal 9 3 8" xfId="2985" xr:uid="{00000000-0005-0000-0000-0000AE0B0000}"/>
    <cellStyle name="Normal 9 3 9" xfId="2986" xr:uid="{00000000-0005-0000-0000-0000AF0B0000}"/>
    <cellStyle name="Normal 9 4" xfId="2987" xr:uid="{00000000-0005-0000-0000-0000B00B0000}"/>
    <cellStyle name="Normal 9 4 10" xfId="2988" xr:uid="{00000000-0005-0000-0000-0000B10B0000}"/>
    <cellStyle name="Normal 9 4 2" xfId="2989" xr:uid="{00000000-0005-0000-0000-0000B20B0000}"/>
    <cellStyle name="Normal 9 4 3" xfId="2990" xr:uid="{00000000-0005-0000-0000-0000B30B0000}"/>
    <cellStyle name="Normal 9 4 4" xfId="2991" xr:uid="{00000000-0005-0000-0000-0000B40B0000}"/>
    <cellStyle name="Normal 9 4 5" xfId="2992" xr:uid="{00000000-0005-0000-0000-0000B50B0000}"/>
    <cellStyle name="Normal 9 4 6" xfId="2993" xr:uid="{00000000-0005-0000-0000-0000B60B0000}"/>
    <cellStyle name="Normal 9 4 7" xfId="2994" xr:uid="{00000000-0005-0000-0000-0000B70B0000}"/>
    <cellStyle name="Normal 9 4 8" xfId="2995" xr:uid="{00000000-0005-0000-0000-0000B80B0000}"/>
    <cellStyle name="Normal 9 4 9" xfId="2996" xr:uid="{00000000-0005-0000-0000-0000B90B0000}"/>
    <cellStyle name="Normal 9 5" xfId="2997" xr:uid="{00000000-0005-0000-0000-0000BA0B0000}"/>
    <cellStyle name="Normal 9 5 10" xfId="2998" xr:uid="{00000000-0005-0000-0000-0000BB0B0000}"/>
    <cellStyle name="Normal 9 5 2" xfId="2999" xr:uid="{00000000-0005-0000-0000-0000BC0B0000}"/>
    <cellStyle name="Normal 9 5 3" xfId="3000" xr:uid="{00000000-0005-0000-0000-0000BD0B0000}"/>
    <cellStyle name="Normal 9 5 4" xfId="3001" xr:uid="{00000000-0005-0000-0000-0000BE0B0000}"/>
    <cellStyle name="Normal 9 5 5" xfId="3002" xr:uid="{00000000-0005-0000-0000-0000BF0B0000}"/>
    <cellStyle name="Normal 9 5 6" xfId="3003" xr:uid="{00000000-0005-0000-0000-0000C00B0000}"/>
    <cellStyle name="Normal 9 5 7" xfId="3004" xr:uid="{00000000-0005-0000-0000-0000C10B0000}"/>
    <cellStyle name="Normal 9 5 8" xfId="3005" xr:uid="{00000000-0005-0000-0000-0000C20B0000}"/>
    <cellStyle name="Normal 9 5 9" xfId="3006" xr:uid="{00000000-0005-0000-0000-0000C30B0000}"/>
    <cellStyle name="Normal 9 6" xfId="3007" xr:uid="{00000000-0005-0000-0000-0000C40B0000}"/>
    <cellStyle name="Normal 9 6 2" xfId="3008" xr:uid="{00000000-0005-0000-0000-0000C50B0000}"/>
    <cellStyle name="Normal 9 6 3" xfId="3009" xr:uid="{00000000-0005-0000-0000-0000C60B0000}"/>
    <cellStyle name="Normal 9 6 4" xfId="3010" xr:uid="{00000000-0005-0000-0000-0000C70B0000}"/>
    <cellStyle name="Normal 9 6 5" xfId="3011" xr:uid="{00000000-0005-0000-0000-0000C80B0000}"/>
    <cellStyle name="Normal 9 6 6" xfId="3012" xr:uid="{00000000-0005-0000-0000-0000C90B0000}"/>
    <cellStyle name="Normal 9 6 7" xfId="3013" xr:uid="{00000000-0005-0000-0000-0000CA0B0000}"/>
    <cellStyle name="Normal 9 6 8" xfId="3014" xr:uid="{00000000-0005-0000-0000-0000CB0B0000}"/>
    <cellStyle name="Normal 9 6 9" xfId="3015" xr:uid="{00000000-0005-0000-0000-0000CC0B0000}"/>
    <cellStyle name="Normal 9 7" xfId="3016" xr:uid="{00000000-0005-0000-0000-0000CD0B0000}"/>
    <cellStyle name="Normal 9 7 2" xfId="3017" xr:uid="{00000000-0005-0000-0000-0000CE0B0000}"/>
    <cellStyle name="Normal 9 7 3" xfId="3018" xr:uid="{00000000-0005-0000-0000-0000CF0B0000}"/>
    <cellStyle name="Normal 9 7 4" xfId="3019" xr:uid="{00000000-0005-0000-0000-0000D00B0000}"/>
    <cellStyle name="Normal 9 7 5" xfId="3020" xr:uid="{00000000-0005-0000-0000-0000D10B0000}"/>
    <cellStyle name="Normal 9 7 6" xfId="3021" xr:uid="{00000000-0005-0000-0000-0000D20B0000}"/>
    <cellStyle name="Normal 9 7 7" xfId="3022" xr:uid="{00000000-0005-0000-0000-0000D30B0000}"/>
    <cellStyle name="Normal 9 7 8" xfId="3023" xr:uid="{00000000-0005-0000-0000-0000D40B0000}"/>
    <cellStyle name="Normal 9 7 9" xfId="3024" xr:uid="{00000000-0005-0000-0000-0000D50B0000}"/>
    <cellStyle name="Normal 9 8" xfId="3025" xr:uid="{00000000-0005-0000-0000-0000D60B0000}"/>
    <cellStyle name="Normal 9 9" xfId="3026" xr:uid="{00000000-0005-0000-0000-0000D70B0000}"/>
    <cellStyle name="Note" xfId="3027" xr:uid="{00000000-0005-0000-0000-0000D80B0000}"/>
    <cellStyle name="Nøytral 10" xfId="3028" xr:uid="{00000000-0005-0000-0000-0000D90B0000}"/>
    <cellStyle name="Nøytral 11" xfId="3029" xr:uid="{00000000-0005-0000-0000-0000DA0B0000}"/>
    <cellStyle name="Nøytral 12" xfId="3030" xr:uid="{00000000-0005-0000-0000-0000DB0B0000}"/>
    <cellStyle name="Nøytral 13" xfId="3031" xr:uid="{00000000-0005-0000-0000-0000DC0B0000}"/>
    <cellStyle name="Nøytral 14" xfId="3032" xr:uid="{00000000-0005-0000-0000-0000DD0B0000}"/>
    <cellStyle name="Nøytral 15" xfId="3033" xr:uid="{00000000-0005-0000-0000-0000DE0B0000}"/>
    <cellStyle name="Nøytral 16" xfId="3034" xr:uid="{00000000-0005-0000-0000-0000DF0B0000}"/>
    <cellStyle name="Nøytral 2" xfId="3035" xr:uid="{00000000-0005-0000-0000-0000E00B0000}"/>
    <cellStyle name="Nøytral 3" xfId="3036" xr:uid="{00000000-0005-0000-0000-0000E10B0000}"/>
    <cellStyle name="Nøytral 4" xfId="3037" xr:uid="{00000000-0005-0000-0000-0000E20B0000}"/>
    <cellStyle name="Nøytral 5" xfId="3038" xr:uid="{00000000-0005-0000-0000-0000E30B0000}"/>
    <cellStyle name="Nøytral 6" xfId="3039" xr:uid="{00000000-0005-0000-0000-0000E40B0000}"/>
    <cellStyle name="Nøytral 7" xfId="3040" xr:uid="{00000000-0005-0000-0000-0000E50B0000}"/>
    <cellStyle name="Nøytral 8" xfId="3041" xr:uid="{00000000-0005-0000-0000-0000E60B0000}"/>
    <cellStyle name="Nøytral 9" xfId="3042" xr:uid="{00000000-0005-0000-0000-0000E70B0000}"/>
    <cellStyle name="Output" xfId="3043" xr:uid="{00000000-0005-0000-0000-0000E80B0000}"/>
    <cellStyle name="Overskrift 1 10" xfId="3044" xr:uid="{00000000-0005-0000-0000-0000E90B0000}"/>
    <cellStyle name="Overskrift 1 11" xfId="3045" xr:uid="{00000000-0005-0000-0000-0000EA0B0000}"/>
    <cellStyle name="Overskrift 1 12" xfId="3046" xr:uid="{00000000-0005-0000-0000-0000EB0B0000}"/>
    <cellStyle name="Overskrift 1 13" xfId="3047" xr:uid="{00000000-0005-0000-0000-0000EC0B0000}"/>
    <cellStyle name="Overskrift 1 14" xfId="3048" xr:uid="{00000000-0005-0000-0000-0000ED0B0000}"/>
    <cellStyle name="Overskrift 1 15" xfId="3049" xr:uid="{00000000-0005-0000-0000-0000EE0B0000}"/>
    <cellStyle name="Overskrift 1 16" xfId="3050" xr:uid="{00000000-0005-0000-0000-0000EF0B0000}"/>
    <cellStyle name="Overskrift 1 2" xfId="3051" xr:uid="{00000000-0005-0000-0000-0000F00B0000}"/>
    <cellStyle name="Overskrift 1 3" xfId="3052" xr:uid="{00000000-0005-0000-0000-0000F10B0000}"/>
    <cellStyle name="Overskrift 1 4" xfId="3053" xr:uid="{00000000-0005-0000-0000-0000F20B0000}"/>
    <cellStyle name="Overskrift 1 5" xfId="3054" xr:uid="{00000000-0005-0000-0000-0000F30B0000}"/>
    <cellStyle name="Overskrift 1 6" xfId="3055" xr:uid="{00000000-0005-0000-0000-0000F40B0000}"/>
    <cellStyle name="Overskrift 1 7" xfId="3056" xr:uid="{00000000-0005-0000-0000-0000F50B0000}"/>
    <cellStyle name="Overskrift 1 8" xfId="3057" xr:uid="{00000000-0005-0000-0000-0000F60B0000}"/>
    <cellStyle name="Overskrift 1 9" xfId="3058" xr:uid="{00000000-0005-0000-0000-0000F70B0000}"/>
    <cellStyle name="Overskrift 2 10" xfId="3059" xr:uid="{00000000-0005-0000-0000-0000F80B0000}"/>
    <cellStyle name="Overskrift 2 11" xfId="3060" xr:uid="{00000000-0005-0000-0000-0000F90B0000}"/>
    <cellStyle name="Overskrift 2 12" xfId="3061" xr:uid="{00000000-0005-0000-0000-0000FA0B0000}"/>
    <cellStyle name="Overskrift 2 13" xfId="3062" xr:uid="{00000000-0005-0000-0000-0000FB0B0000}"/>
    <cellStyle name="Overskrift 2 14" xfId="3063" xr:uid="{00000000-0005-0000-0000-0000FC0B0000}"/>
    <cellStyle name="Overskrift 2 15" xfId="3064" xr:uid="{00000000-0005-0000-0000-0000FD0B0000}"/>
    <cellStyle name="Overskrift 2 16" xfId="3065" xr:uid="{00000000-0005-0000-0000-0000FE0B0000}"/>
    <cellStyle name="Overskrift 2 2" xfId="3066" xr:uid="{00000000-0005-0000-0000-0000FF0B0000}"/>
    <cellStyle name="Overskrift 2 3" xfId="3067" xr:uid="{00000000-0005-0000-0000-0000000C0000}"/>
    <cellStyle name="Overskrift 2 4" xfId="3068" xr:uid="{00000000-0005-0000-0000-0000010C0000}"/>
    <cellStyle name="Overskrift 2 5" xfId="3069" xr:uid="{00000000-0005-0000-0000-0000020C0000}"/>
    <cellStyle name="Overskrift 2 6" xfId="3070" xr:uid="{00000000-0005-0000-0000-0000030C0000}"/>
    <cellStyle name="Overskrift 2 7" xfId="3071" xr:uid="{00000000-0005-0000-0000-0000040C0000}"/>
    <cellStyle name="Overskrift 2 8" xfId="3072" xr:uid="{00000000-0005-0000-0000-0000050C0000}"/>
    <cellStyle name="Overskrift 2 9" xfId="3073" xr:uid="{00000000-0005-0000-0000-0000060C0000}"/>
    <cellStyle name="Overskrift 3 10" xfId="3074" xr:uid="{00000000-0005-0000-0000-0000070C0000}"/>
    <cellStyle name="Overskrift 3 11" xfId="3075" xr:uid="{00000000-0005-0000-0000-0000080C0000}"/>
    <cellStyle name="Overskrift 3 12" xfId="3076" xr:uid="{00000000-0005-0000-0000-0000090C0000}"/>
    <cellStyle name="Overskrift 3 13" xfId="3077" xr:uid="{00000000-0005-0000-0000-00000A0C0000}"/>
    <cellStyle name="Overskrift 3 14" xfId="3078" xr:uid="{00000000-0005-0000-0000-00000B0C0000}"/>
    <cellStyle name="Overskrift 3 15" xfId="3079" xr:uid="{00000000-0005-0000-0000-00000C0C0000}"/>
    <cellStyle name="Overskrift 3 16" xfId="3080" xr:uid="{00000000-0005-0000-0000-00000D0C0000}"/>
    <cellStyle name="Overskrift 3 2" xfId="3081" xr:uid="{00000000-0005-0000-0000-00000E0C0000}"/>
    <cellStyle name="Overskrift 3 3" xfId="3082" xr:uid="{00000000-0005-0000-0000-00000F0C0000}"/>
    <cellStyle name="Overskrift 3 4" xfId="3083" xr:uid="{00000000-0005-0000-0000-0000100C0000}"/>
    <cellStyle name="Overskrift 3 5" xfId="3084" xr:uid="{00000000-0005-0000-0000-0000110C0000}"/>
    <cellStyle name="Overskrift 3 6" xfId="3085" xr:uid="{00000000-0005-0000-0000-0000120C0000}"/>
    <cellStyle name="Overskrift 3 7" xfId="3086" xr:uid="{00000000-0005-0000-0000-0000130C0000}"/>
    <cellStyle name="Overskrift 3 8" xfId="3087" xr:uid="{00000000-0005-0000-0000-0000140C0000}"/>
    <cellStyle name="Overskrift 3 9" xfId="3088" xr:uid="{00000000-0005-0000-0000-0000150C0000}"/>
    <cellStyle name="Overskrift 4 10" xfId="3089" xr:uid="{00000000-0005-0000-0000-0000160C0000}"/>
    <cellStyle name="Overskrift 4 11" xfId="3090" xr:uid="{00000000-0005-0000-0000-0000170C0000}"/>
    <cellStyle name="Overskrift 4 12" xfId="3091" xr:uid="{00000000-0005-0000-0000-0000180C0000}"/>
    <cellStyle name="Overskrift 4 13" xfId="3092" xr:uid="{00000000-0005-0000-0000-0000190C0000}"/>
    <cellStyle name="Overskrift 4 14" xfId="3093" xr:uid="{00000000-0005-0000-0000-00001A0C0000}"/>
    <cellStyle name="Overskrift 4 15" xfId="3094" xr:uid="{00000000-0005-0000-0000-00001B0C0000}"/>
    <cellStyle name="Overskrift 4 16" xfId="3095" xr:uid="{00000000-0005-0000-0000-00001C0C0000}"/>
    <cellStyle name="Overskrift 4 2" xfId="3096" xr:uid="{00000000-0005-0000-0000-00001D0C0000}"/>
    <cellStyle name="Overskrift 4 3" xfId="3097" xr:uid="{00000000-0005-0000-0000-00001E0C0000}"/>
    <cellStyle name="Overskrift 4 4" xfId="3098" xr:uid="{00000000-0005-0000-0000-00001F0C0000}"/>
    <cellStyle name="Overskrift 4 5" xfId="3099" xr:uid="{00000000-0005-0000-0000-0000200C0000}"/>
    <cellStyle name="Overskrift 4 6" xfId="3100" xr:uid="{00000000-0005-0000-0000-0000210C0000}"/>
    <cellStyle name="Overskrift 4 7" xfId="3101" xr:uid="{00000000-0005-0000-0000-0000220C0000}"/>
    <cellStyle name="Overskrift 4 8" xfId="3102" xr:uid="{00000000-0005-0000-0000-0000230C0000}"/>
    <cellStyle name="Overskrift 4 9" xfId="3103" xr:uid="{00000000-0005-0000-0000-0000240C0000}"/>
    <cellStyle name="Prosent" xfId="3104" builtinId="5"/>
    <cellStyle name="Prosent 10" xfId="3105" xr:uid="{00000000-0005-0000-0000-0000260C0000}"/>
    <cellStyle name="Prosent 11" xfId="3106" xr:uid="{00000000-0005-0000-0000-0000270C0000}"/>
    <cellStyle name="Prosent 12" xfId="3107" xr:uid="{00000000-0005-0000-0000-0000280C0000}"/>
    <cellStyle name="Prosent 13" xfId="3108" xr:uid="{00000000-0005-0000-0000-0000290C0000}"/>
    <cellStyle name="Prosent 14" xfId="3414" xr:uid="{00000000-0005-0000-0000-00002A0C0000}"/>
    <cellStyle name="Prosent 2" xfId="3109" xr:uid="{00000000-0005-0000-0000-00002B0C0000}"/>
    <cellStyle name="Prosent 2 10" xfId="3110" xr:uid="{00000000-0005-0000-0000-00002C0C0000}"/>
    <cellStyle name="Prosent 2 11" xfId="3111" xr:uid="{00000000-0005-0000-0000-00002D0C0000}"/>
    <cellStyle name="Prosent 2 12" xfId="3112" xr:uid="{00000000-0005-0000-0000-00002E0C0000}"/>
    <cellStyle name="Prosent 2 13" xfId="3113" xr:uid="{00000000-0005-0000-0000-00002F0C0000}"/>
    <cellStyle name="Prosent 2 14" xfId="3114" xr:uid="{00000000-0005-0000-0000-0000300C0000}"/>
    <cellStyle name="Prosent 2 15" xfId="3115" xr:uid="{00000000-0005-0000-0000-0000310C0000}"/>
    <cellStyle name="Prosent 2 16" xfId="3116" xr:uid="{00000000-0005-0000-0000-0000320C0000}"/>
    <cellStyle name="Prosent 2 2" xfId="3117" xr:uid="{00000000-0005-0000-0000-0000330C0000}"/>
    <cellStyle name="Prosent 2 3" xfId="3118" xr:uid="{00000000-0005-0000-0000-0000340C0000}"/>
    <cellStyle name="Prosent 2 4" xfId="3119" xr:uid="{00000000-0005-0000-0000-0000350C0000}"/>
    <cellStyle name="Prosent 2 5" xfId="3120" xr:uid="{00000000-0005-0000-0000-0000360C0000}"/>
    <cellStyle name="Prosent 2 6" xfId="3121" xr:uid="{00000000-0005-0000-0000-0000370C0000}"/>
    <cellStyle name="Prosent 2 7" xfId="3122" xr:uid="{00000000-0005-0000-0000-0000380C0000}"/>
    <cellStyle name="Prosent 2 8" xfId="3123" xr:uid="{00000000-0005-0000-0000-0000390C0000}"/>
    <cellStyle name="Prosent 2 9" xfId="3124" xr:uid="{00000000-0005-0000-0000-00003A0C0000}"/>
    <cellStyle name="Prosent 3" xfId="3125" xr:uid="{00000000-0005-0000-0000-00003B0C0000}"/>
    <cellStyle name="Prosent 3 2" xfId="3126" xr:uid="{00000000-0005-0000-0000-00003C0C0000}"/>
    <cellStyle name="Prosent 4" xfId="3127" xr:uid="{00000000-0005-0000-0000-00003D0C0000}"/>
    <cellStyle name="Prosent 5" xfId="3128" xr:uid="{00000000-0005-0000-0000-00003E0C0000}"/>
    <cellStyle name="Prosent 6" xfId="3129" xr:uid="{00000000-0005-0000-0000-00003F0C0000}"/>
    <cellStyle name="Prosent 7" xfId="3130" xr:uid="{00000000-0005-0000-0000-0000400C0000}"/>
    <cellStyle name="Prosent 8" xfId="3131" xr:uid="{00000000-0005-0000-0000-0000410C0000}"/>
    <cellStyle name="Prosent 9" xfId="3132" xr:uid="{00000000-0005-0000-0000-0000420C0000}"/>
    <cellStyle name="Stil 1" xfId="3133" xr:uid="{00000000-0005-0000-0000-0000430C0000}"/>
    <cellStyle name="Stil 1 10" xfId="3134" xr:uid="{00000000-0005-0000-0000-0000440C0000}"/>
    <cellStyle name="Stil 1 10 2" xfId="3135" xr:uid="{00000000-0005-0000-0000-0000450C0000}"/>
    <cellStyle name="Stil 1 10 3" xfId="3136" xr:uid="{00000000-0005-0000-0000-0000460C0000}"/>
    <cellStyle name="Stil 1 10 4" xfId="3137" xr:uid="{00000000-0005-0000-0000-0000470C0000}"/>
    <cellStyle name="Stil 1 10 5" xfId="3138" xr:uid="{00000000-0005-0000-0000-0000480C0000}"/>
    <cellStyle name="Stil 1 10 6" xfId="3139" xr:uid="{00000000-0005-0000-0000-0000490C0000}"/>
    <cellStyle name="Stil 1 10 7" xfId="3140" xr:uid="{00000000-0005-0000-0000-00004A0C0000}"/>
    <cellStyle name="Stil 1 10 8" xfId="3141" xr:uid="{00000000-0005-0000-0000-00004B0C0000}"/>
    <cellStyle name="Stil 1 2" xfId="3142" xr:uid="{00000000-0005-0000-0000-00004C0C0000}"/>
    <cellStyle name="Stil 1 2 10" xfId="3143" xr:uid="{00000000-0005-0000-0000-00004D0C0000}"/>
    <cellStyle name="Stil 1 2 11" xfId="3144" xr:uid="{00000000-0005-0000-0000-00004E0C0000}"/>
    <cellStyle name="Stil 1 2 12" xfId="3145" xr:uid="{00000000-0005-0000-0000-00004F0C0000}"/>
    <cellStyle name="Stil 1 2 13" xfId="3146" xr:uid="{00000000-0005-0000-0000-0000500C0000}"/>
    <cellStyle name="Stil 1 2 14" xfId="3147" xr:uid="{00000000-0005-0000-0000-0000510C0000}"/>
    <cellStyle name="Stil 1 2 15" xfId="3148" xr:uid="{00000000-0005-0000-0000-0000520C0000}"/>
    <cellStyle name="Stil 1 2 16" xfId="3149" xr:uid="{00000000-0005-0000-0000-0000530C0000}"/>
    <cellStyle name="Stil 1 2 2" xfId="3150" xr:uid="{00000000-0005-0000-0000-0000540C0000}"/>
    <cellStyle name="Stil 1 2 3" xfId="3151" xr:uid="{00000000-0005-0000-0000-0000550C0000}"/>
    <cellStyle name="Stil 1 2 4" xfId="3152" xr:uid="{00000000-0005-0000-0000-0000560C0000}"/>
    <cellStyle name="Stil 1 2 5" xfId="3153" xr:uid="{00000000-0005-0000-0000-0000570C0000}"/>
    <cellStyle name="Stil 1 2 6" xfId="3154" xr:uid="{00000000-0005-0000-0000-0000580C0000}"/>
    <cellStyle name="Stil 1 2 7" xfId="3155" xr:uid="{00000000-0005-0000-0000-0000590C0000}"/>
    <cellStyle name="Stil 1 2 8" xfId="3156" xr:uid="{00000000-0005-0000-0000-00005A0C0000}"/>
    <cellStyle name="Stil 1 2 9" xfId="3157" xr:uid="{00000000-0005-0000-0000-00005B0C0000}"/>
    <cellStyle name="Stil 1 3" xfId="3158" xr:uid="{00000000-0005-0000-0000-00005C0C0000}"/>
    <cellStyle name="Stil 1 4" xfId="3159" xr:uid="{00000000-0005-0000-0000-00005D0C0000}"/>
    <cellStyle name="Stil 1 4 2" xfId="3160" xr:uid="{00000000-0005-0000-0000-00005E0C0000}"/>
    <cellStyle name="Stil 1 4 3" xfId="3161" xr:uid="{00000000-0005-0000-0000-00005F0C0000}"/>
    <cellStyle name="Stil 1 4 4" xfId="3162" xr:uid="{00000000-0005-0000-0000-0000600C0000}"/>
    <cellStyle name="Stil 1 4 5" xfId="3163" xr:uid="{00000000-0005-0000-0000-0000610C0000}"/>
    <cellStyle name="Stil 1 4 6" xfId="3164" xr:uid="{00000000-0005-0000-0000-0000620C0000}"/>
    <cellStyle name="Stil 1 4 7" xfId="3165" xr:uid="{00000000-0005-0000-0000-0000630C0000}"/>
    <cellStyle name="Stil 1 4 8" xfId="3166" xr:uid="{00000000-0005-0000-0000-0000640C0000}"/>
    <cellStyle name="Stil 1 5" xfId="3167" xr:uid="{00000000-0005-0000-0000-0000650C0000}"/>
    <cellStyle name="Stil 1 5 2" xfId="3168" xr:uid="{00000000-0005-0000-0000-0000660C0000}"/>
    <cellStyle name="Stil 1 5 3" xfId="3169" xr:uid="{00000000-0005-0000-0000-0000670C0000}"/>
    <cellStyle name="Stil 1 5 4" xfId="3170" xr:uid="{00000000-0005-0000-0000-0000680C0000}"/>
    <cellStyle name="Stil 1 5 5" xfId="3171" xr:uid="{00000000-0005-0000-0000-0000690C0000}"/>
    <cellStyle name="Stil 1 5 6" xfId="3172" xr:uid="{00000000-0005-0000-0000-00006A0C0000}"/>
    <cellStyle name="Stil 1 5 7" xfId="3173" xr:uid="{00000000-0005-0000-0000-00006B0C0000}"/>
    <cellStyle name="Stil 1 5 8" xfId="3174" xr:uid="{00000000-0005-0000-0000-00006C0C0000}"/>
    <cellStyle name="Stil 1 6" xfId="3175" xr:uid="{00000000-0005-0000-0000-00006D0C0000}"/>
    <cellStyle name="Stil 1 6 2" xfId="3176" xr:uid="{00000000-0005-0000-0000-00006E0C0000}"/>
    <cellStyle name="Stil 1 6 3" xfId="3177" xr:uid="{00000000-0005-0000-0000-00006F0C0000}"/>
    <cellStyle name="Stil 1 6 4" xfId="3178" xr:uid="{00000000-0005-0000-0000-0000700C0000}"/>
    <cellStyle name="Stil 1 6 5" xfId="3179" xr:uid="{00000000-0005-0000-0000-0000710C0000}"/>
    <cellStyle name="Stil 1 6 6" xfId="3180" xr:uid="{00000000-0005-0000-0000-0000720C0000}"/>
    <cellStyle name="Stil 1 6 7" xfId="3181" xr:uid="{00000000-0005-0000-0000-0000730C0000}"/>
    <cellStyle name="Stil 1 6 8" xfId="3182" xr:uid="{00000000-0005-0000-0000-0000740C0000}"/>
    <cellStyle name="Stil 1 7" xfId="3183" xr:uid="{00000000-0005-0000-0000-0000750C0000}"/>
    <cellStyle name="Stil 1 7 2" xfId="3184" xr:uid="{00000000-0005-0000-0000-0000760C0000}"/>
    <cellStyle name="Stil 1 7 3" xfId="3185" xr:uid="{00000000-0005-0000-0000-0000770C0000}"/>
    <cellStyle name="Stil 1 7 4" xfId="3186" xr:uid="{00000000-0005-0000-0000-0000780C0000}"/>
    <cellStyle name="Stil 1 7 5" xfId="3187" xr:uid="{00000000-0005-0000-0000-0000790C0000}"/>
    <cellStyle name="Stil 1 7 6" xfId="3188" xr:uid="{00000000-0005-0000-0000-00007A0C0000}"/>
    <cellStyle name="Stil 1 7 7" xfId="3189" xr:uid="{00000000-0005-0000-0000-00007B0C0000}"/>
    <cellStyle name="Stil 1 7 8" xfId="3190" xr:uid="{00000000-0005-0000-0000-00007C0C0000}"/>
    <cellStyle name="Stil 1 8" xfId="3191" xr:uid="{00000000-0005-0000-0000-00007D0C0000}"/>
    <cellStyle name="Stil 1 8 2" xfId="3192" xr:uid="{00000000-0005-0000-0000-00007E0C0000}"/>
    <cellStyle name="Stil 1 8 3" xfId="3193" xr:uid="{00000000-0005-0000-0000-00007F0C0000}"/>
    <cellStyle name="Stil 1 8 4" xfId="3194" xr:uid="{00000000-0005-0000-0000-0000800C0000}"/>
    <cellStyle name="Stil 1 8 5" xfId="3195" xr:uid="{00000000-0005-0000-0000-0000810C0000}"/>
    <cellStyle name="Stil 1 8 6" xfId="3196" xr:uid="{00000000-0005-0000-0000-0000820C0000}"/>
    <cellStyle name="Stil 1 8 7" xfId="3197" xr:uid="{00000000-0005-0000-0000-0000830C0000}"/>
    <cellStyle name="Stil 1 8 8" xfId="3198" xr:uid="{00000000-0005-0000-0000-0000840C0000}"/>
    <cellStyle name="Stil 1 9" xfId="3199" xr:uid="{00000000-0005-0000-0000-0000850C0000}"/>
    <cellStyle name="Stil 1 9 2" xfId="3200" xr:uid="{00000000-0005-0000-0000-0000860C0000}"/>
    <cellStyle name="Stil 1 9 3" xfId="3201" xr:uid="{00000000-0005-0000-0000-0000870C0000}"/>
    <cellStyle name="Stil 1 9 4" xfId="3202" xr:uid="{00000000-0005-0000-0000-0000880C0000}"/>
    <cellStyle name="Stil 1 9 5" xfId="3203" xr:uid="{00000000-0005-0000-0000-0000890C0000}"/>
    <cellStyle name="Stil 1 9 6" xfId="3204" xr:uid="{00000000-0005-0000-0000-00008A0C0000}"/>
    <cellStyle name="Stil 1 9 7" xfId="3205" xr:uid="{00000000-0005-0000-0000-00008B0C0000}"/>
    <cellStyle name="Stil 1 9 8" xfId="3206" xr:uid="{00000000-0005-0000-0000-00008C0C0000}"/>
    <cellStyle name="Title" xfId="3207" xr:uid="{00000000-0005-0000-0000-00008D0C0000}"/>
    <cellStyle name="Tittel 10" xfId="3208" xr:uid="{00000000-0005-0000-0000-00008E0C0000}"/>
    <cellStyle name="Tittel 11" xfId="3209" xr:uid="{00000000-0005-0000-0000-00008F0C0000}"/>
    <cellStyle name="Tittel 12" xfId="3210" xr:uid="{00000000-0005-0000-0000-0000900C0000}"/>
    <cellStyle name="Tittel 13" xfId="3211" xr:uid="{00000000-0005-0000-0000-0000910C0000}"/>
    <cellStyle name="Tittel 14" xfId="3212" xr:uid="{00000000-0005-0000-0000-0000920C0000}"/>
    <cellStyle name="Tittel 15" xfId="3213" xr:uid="{00000000-0005-0000-0000-0000930C0000}"/>
    <cellStyle name="Tittel 16" xfId="3214" xr:uid="{00000000-0005-0000-0000-0000940C0000}"/>
    <cellStyle name="Tittel 2" xfId="3215" xr:uid="{00000000-0005-0000-0000-0000950C0000}"/>
    <cellStyle name="Tittel 3" xfId="3216" xr:uid="{00000000-0005-0000-0000-0000960C0000}"/>
    <cellStyle name="Tittel 4" xfId="3217" xr:uid="{00000000-0005-0000-0000-0000970C0000}"/>
    <cellStyle name="Tittel 5" xfId="3218" xr:uid="{00000000-0005-0000-0000-0000980C0000}"/>
    <cellStyle name="Tittel 6" xfId="3219" xr:uid="{00000000-0005-0000-0000-0000990C0000}"/>
    <cellStyle name="Tittel 7" xfId="3220" xr:uid="{00000000-0005-0000-0000-00009A0C0000}"/>
    <cellStyle name="Tittel 8" xfId="3221" xr:uid="{00000000-0005-0000-0000-00009B0C0000}"/>
    <cellStyle name="Tittel 9" xfId="3222" xr:uid="{00000000-0005-0000-0000-00009C0C0000}"/>
    <cellStyle name="Total" xfId="3223" xr:uid="{00000000-0005-0000-0000-00009D0C0000}"/>
    <cellStyle name="Totalt 10" xfId="3224" xr:uid="{00000000-0005-0000-0000-00009E0C0000}"/>
    <cellStyle name="Totalt 11" xfId="3225" xr:uid="{00000000-0005-0000-0000-00009F0C0000}"/>
    <cellStyle name="Totalt 12" xfId="3226" xr:uid="{00000000-0005-0000-0000-0000A00C0000}"/>
    <cellStyle name="Totalt 13" xfId="3227" xr:uid="{00000000-0005-0000-0000-0000A10C0000}"/>
    <cellStyle name="Totalt 14" xfId="3228" xr:uid="{00000000-0005-0000-0000-0000A20C0000}"/>
    <cellStyle name="Totalt 15" xfId="3229" xr:uid="{00000000-0005-0000-0000-0000A30C0000}"/>
    <cellStyle name="Totalt 16" xfId="3230" xr:uid="{00000000-0005-0000-0000-0000A40C0000}"/>
    <cellStyle name="Totalt 2" xfId="3231" xr:uid="{00000000-0005-0000-0000-0000A50C0000}"/>
    <cellStyle name="Totalt 3" xfId="3232" xr:uid="{00000000-0005-0000-0000-0000A60C0000}"/>
    <cellStyle name="Totalt 4" xfId="3233" xr:uid="{00000000-0005-0000-0000-0000A70C0000}"/>
    <cellStyle name="Totalt 5" xfId="3234" xr:uid="{00000000-0005-0000-0000-0000A80C0000}"/>
    <cellStyle name="Totalt 6" xfId="3235" xr:uid="{00000000-0005-0000-0000-0000A90C0000}"/>
    <cellStyle name="Totalt 7" xfId="3236" xr:uid="{00000000-0005-0000-0000-0000AA0C0000}"/>
    <cellStyle name="Totalt 8" xfId="3237" xr:uid="{00000000-0005-0000-0000-0000AB0C0000}"/>
    <cellStyle name="Totalt 9" xfId="3238" xr:uid="{00000000-0005-0000-0000-0000AC0C0000}"/>
    <cellStyle name="Tusenskille 10" xfId="3240" xr:uid="{00000000-0005-0000-0000-0000AD0C0000}"/>
    <cellStyle name="Tusenskille 11" xfId="3241" xr:uid="{00000000-0005-0000-0000-0000AE0C0000}"/>
    <cellStyle name="Tusenskille 12" xfId="3242" xr:uid="{00000000-0005-0000-0000-0000AF0C0000}"/>
    <cellStyle name="Tusenskille 13" xfId="3243" xr:uid="{00000000-0005-0000-0000-0000B00C0000}"/>
    <cellStyle name="Tusenskille 13 2" xfId="3244" xr:uid="{00000000-0005-0000-0000-0000B10C0000}"/>
    <cellStyle name="Tusenskille 13 3" xfId="3245" xr:uid="{00000000-0005-0000-0000-0000B20C0000}"/>
    <cellStyle name="Tusenskille 13 4" xfId="3246" xr:uid="{00000000-0005-0000-0000-0000B30C0000}"/>
    <cellStyle name="Tusenskille 13 5" xfId="3247" xr:uid="{00000000-0005-0000-0000-0000B40C0000}"/>
    <cellStyle name="Tusenskille 13 6" xfId="3248" xr:uid="{00000000-0005-0000-0000-0000B50C0000}"/>
    <cellStyle name="Tusenskille 13 7" xfId="3249" xr:uid="{00000000-0005-0000-0000-0000B60C0000}"/>
    <cellStyle name="Tusenskille 13 8" xfId="3250" xr:uid="{00000000-0005-0000-0000-0000B70C0000}"/>
    <cellStyle name="Tusenskille 13 9" xfId="3251" xr:uid="{00000000-0005-0000-0000-0000B80C0000}"/>
    <cellStyle name="Tusenskille 14" xfId="3252" xr:uid="{00000000-0005-0000-0000-0000B90C0000}"/>
    <cellStyle name="Tusenskille 15" xfId="3253" xr:uid="{00000000-0005-0000-0000-0000BA0C0000}"/>
    <cellStyle name="Tusenskille 16" xfId="3254" xr:uid="{00000000-0005-0000-0000-0000BB0C0000}"/>
    <cellStyle name="Tusenskille 17" xfId="3255" xr:uid="{00000000-0005-0000-0000-0000BC0C0000}"/>
    <cellStyle name="Tusenskille 17 2" xfId="3256" xr:uid="{00000000-0005-0000-0000-0000BD0C0000}"/>
    <cellStyle name="Tusenskille 17 3" xfId="3257" xr:uid="{00000000-0005-0000-0000-0000BE0C0000}"/>
    <cellStyle name="Tusenskille 17 4" xfId="3258" xr:uid="{00000000-0005-0000-0000-0000BF0C0000}"/>
    <cellStyle name="Tusenskille 17 5" xfId="3259" xr:uid="{00000000-0005-0000-0000-0000C00C0000}"/>
    <cellStyle name="Tusenskille 17 6" xfId="3260" xr:uid="{00000000-0005-0000-0000-0000C10C0000}"/>
    <cellStyle name="Tusenskille 17 7" xfId="3261" xr:uid="{00000000-0005-0000-0000-0000C20C0000}"/>
    <cellStyle name="Tusenskille 17 8" xfId="3262" xr:uid="{00000000-0005-0000-0000-0000C30C0000}"/>
    <cellStyle name="Tusenskille 17 9" xfId="3263" xr:uid="{00000000-0005-0000-0000-0000C40C0000}"/>
    <cellStyle name="Tusenskille 18" xfId="3264" xr:uid="{00000000-0005-0000-0000-0000C50C0000}"/>
    <cellStyle name="Tusenskille 19" xfId="3265" xr:uid="{00000000-0005-0000-0000-0000C60C0000}"/>
    <cellStyle name="Tusenskille 2" xfId="3266" xr:uid="{00000000-0005-0000-0000-0000C70C0000}"/>
    <cellStyle name="Tusenskille 2 10" xfId="3267" xr:uid="{00000000-0005-0000-0000-0000C80C0000}"/>
    <cellStyle name="Tusenskille 2 11" xfId="3268" xr:uid="{00000000-0005-0000-0000-0000C90C0000}"/>
    <cellStyle name="Tusenskille 2 12" xfId="3269" xr:uid="{00000000-0005-0000-0000-0000CA0C0000}"/>
    <cellStyle name="Tusenskille 2 13" xfId="3270" xr:uid="{00000000-0005-0000-0000-0000CB0C0000}"/>
    <cellStyle name="Tusenskille 2 14" xfId="3271" xr:uid="{00000000-0005-0000-0000-0000CC0C0000}"/>
    <cellStyle name="Tusenskille 2 15" xfId="3272" xr:uid="{00000000-0005-0000-0000-0000CD0C0000}"/>
    <cellStyle name="Tusenskille 2 16" xfId="3273" xr:uid="{00000000-0005-0000-0000-0000CE0C0000}"/>
    <cellStyle name="Tusenskille 2 2" xfId="3274" xr:uid="{00000000-0005-0000-0000-0000CF0C0000}"/>
    <cellStyle name="Tusenskille 2 3" xfId="3275" xr:uid="{00000000-0005-0000-0000-0000D00C0000}"/>
    <cellStyle name="Tusenskille 2 4" xfId="3276" xr:uid="{00000000-0005-0000-0000-0000D10C0000}"/>
    <cellStyle name="Tusenskille 2 5" xfId="3277" xr:uid="{00000000-0005-0000-0000-0000D20C0000}"/>
    <cellStyle name="Tusenskille 2 6" xfId="3278" xr:uid="{00000000-0005-0000-0000-0000D30C0000}"/>
    <cellStyle name="Tusenskille 2 7" xfId="3279" xr:uid="{00000000-0005-0000-0000-0000D40C0000}"/>
    <cellStyle name="Tusenskille 2 8" xfId="3280" xr:uid="{00000000-0005-0000-0000-0000D50C0000}"/>
    <cellStyle name="Tusenskille 2 9" xfId="3281" xr:uid="{00000000-0005-0000-0000-0000D60C0000}"/>
    <cellStyle name="Tusenskille 20" xfId="3282" xr:uid="{00000000-0005-0000-0000-0000D70C0000}"/>
    <cellStyle name="Tusenskille 21" xfId="3415" xr:uid="{00000000-0005-0000-0000-0000D80C0000}"/>
    <cellStyle name="Tusenskille 27" xfId="3283" xr:uid="{00000000-0005-0000-0000-0000D90C0000}"/>
    <cellStyle name="Tusenskille 27 2" xfId="3418" xr:uid="{00000000-0005-0000-0000-0000DA0C0000}"/>
    <cellStyle name="Tusenskille 3" xfId="3284" xr:uid="{00000000-0005-0000-0000-0000DB0C0000}"/>
    <cellStyle name="Tusenskille 30" xfId="3285" xr:uid="{00000000-0005-0000-0000-0000DC0C0000}"/>
    <cellStyle name="Tusenskille 31" xfId="3286" xr:uid="{00000000-0005-0000-0000-0000DD0C0000}"/>
    <cellStyle name="Tusenskille 4" xfId="3287" xr:uid="{00000000-0005-0000-0000-0000DE0C0000}"/>
    <cellStyle name="Tusenskille 5" xfId="3288" xr:uid="{00000000-0005-0000-0000-0000DF0C0000}"/>
    <cellStyle name="Tusenskille 6" xfId="3289" xr:uid="{00000000-0005-0000-0000-0000E00C0000}"/>
    <cellStyle name="Tusenskille 7" xfId="3290" xr:uid="{00000000-0005-0000-0000-0000E10C0000}"/>
    <cellStyle name="Tusenskille 8" xfId="3291" xr:uid="{00000000-0005-0000-0000-0000E20C0000}"/>
    <cellStyle name="Tusenskille 9" xfId="3292" xr:uid="{00000000-0005-0000-0000-0000E30C0000}"/>
    <cellStyle name="Utdata 10" xfId="3293" xr:uid="{00000000-0005-0000-0000-0000E40C0000}"/>
    <cellStyle name="Utdata 11" xfId="3294" xr:uid="{00000000-0005-0000-0000-0000E50C0000}"/>
    <cellStyle name="Utdata 12" xfId="3295" xr:uid="{00000000-0005-0000-0000-0000E60C0000}"/>
    <cellStyle name="Utdata 13" xfId="3296" xr:uid="{00000000-0005-0000-0000-0000E70C0000}"/>
    <cellStyle name="Utdata 14" xfId="3297" xr:uid="{00000000-0005-0000-0000-0000E80C0000}"/>
    <cellStyle name="Utdata 15" xfId="3298" xr:uid="{00000000-0005-0000-0000-0000E90C0000}"/>
    <cellStyle name="Utdata 16" xfId="3299" xr:uid="{00000000-0005-0000-0000-0000EA0C0000}"/>
    <cellStyle name="Utdata 2" xfId="3300" xr:uid="{00000000-0005-0000-0000-0000EB0C0000}"/>
    <cellStyle name="Utdata 3" xfId="3301" xr:uid="{00000000-0005-0000-0000-0000EC0C0000}"/>
    <cellStyle name="Utdata 4" xfId="3302" xr:uid="{00000000-0005-0000-0000-0000ED0C0000}"/>
    <cellStyle name="Utdata 5" xfId="3303" xr:uid="{00000000-0005-0000-0000-0000EE0C0000}"/>
    <cellStyle name="Utdata 6" xfId="3304" xr:uid="{00000000-0005-0000-0000-0000EF0C0000}"/>
    <cellStyle name="Utdata 7" xfId="3305" xr:uid="{00000000-0005-0000-0000-0000F00C0000}"/>
    <cellStyle name="Utdata 8" xfId="3306" xr:uid="{00000000-0005-0000-0000-0000F10C0000}"/>
    <cellStyle name="Utdata 9" xfId="3307" xr:uid="{00000000-0005-0000-0000-0000F20C0000}"/>
    <cellStyle name="Uthevingsfarge1 10" xfId="3308" xr:uid="{00000000-0005-0000-0000-0000F30C0000}"/>
    <cellStyle name="Uthevingsfarge1 11" xfId="3309" xr:uid="{00000000-0005-0000-0000-0000F40C0000}"/>
    <cellStyle name="Uthevingsfarge1 12" xfId="3310" xr:uid="{00000000-0005-0000-0000-0000F50C0000}"/>
    <cellStyle name="Uthevingsfarge1 13" xfId="3311" xr:uid="{00000000-0005-0000-0000-0000F60C0000}"/>
    <cellStyle name="Uthevingsfarge1 14" xfId="3312" xr:uid="{00000000-0005-0000-0000-0000F70C0000}"/>
    <cellStyle name="Uthevingsfarge1 15" xfId="3313" xr:uid="{00000000-0005-0000-0000-0000F80C0000}"/>
    <cellStyle name="Uthevingsfarge1 16" xfId="3314" xr:uid="{00000000-0005-0000-0000-0000F90C0000}"/>
    <cellStyle name="Uthevingsfarge1 2" xfId="3315" xr:uid="{00000000-0005-0000-0000-0000FA0C0000}"/>
    <cellStyle name="Uthevingsfarge1 3" xfId="3316" xr:uid="{00000000-0005-0000-0000-0000FB0C0000}"/>
    <cellStyle name="Uthevingsfarge1 4" xfId="3317" xr:uid="{00000000-0005-0000-0000-0000FC0C0000}"/>
    <cellStyle name="Uthevingsfarge1 5" xfId="3318" xr:uid="{00000000-0005-0000-0000-0000FD0C0000}"/>
    <cellStyle name="Uthevingsfarge1 6" xfId="3319" xr:uid="{00000000-0005-0000-0000-0000FE0C0000}"/>
    <cellStyle name="Uthevingsfarge1 7" xfId="3320" xr:uid="{00000000-0005-0000-0000-0000FF0C0000}"/>
    <cellStyle name="Uthevingsfarge1 8" xfId="3321" xr:uid="{00000000-0005-0000-0000-0000000D0000}"/>
    <cellStyle name="Uthevingsfarge1 9" xfId="3322" xr:uid="{00000000-0005-0000-0000-0000010D0000}"/>
    <cellStyle name="Uthevingsfarge2 10" xfId="3323" xr:uid="{00000000-0005-0000-0000-0000020D0000}"/>
    <cellStyle name="Uthevingsfarge2 11" xfId="3324" xr:uid="{00000000-0005-0000-0000-0000030D0000}"/>
    <cellStyle name="Uthevingsfarge2 12" xfId="3325" xr:uid="{00000000-0005-0000-0000-0000040D0000}"/>
    <cellStyle name="Uthevingsfarge2 13" xfId="3326" xr:uid="{00000000-0005-0000-0000-0000050D0000}"/>
    <cellStyle name="Uthevingsfarge2 14" xfId="3327" xr:uid="{00000000-0005-0000-0000-0000060D0000}"/>
    <cellStyle name="Uthevingsfarge2 15" xfId="3328" xr:uid="{00000000-0005-0000-0000-0000070D0000}"/>
    <cellStyle name="Uthevingsfarge2 16" xfId="3329" xr:uid="{00000000-0005-0000-0000-0000080D0000}"/>
    <cellStyle name="Uthevingsfarge2 2" xfId="3330" xr:uid="{00000000-0005-0000-0000-0000090D0000}"/>
    <cellStyle name="Uthevingsfarge2 3" xfId="3331" xr:uid="{00000000-0005-0000-0000-00000A0D0000}"/>
    <cellStyle name="Uthevingsfarge2 4" xfId="3332" xr:uid="{00000000-0005-0000-0000-00000B0D0000}"/>
    <cellStyle name="Uthevingsfarge2 5" xfId="3333" xr:uid="{00000000-0005-0000-0000-00000C0D0000}"/>
    <cellStyle name="Uthevingsfarge2 6" xfId="3334" xr:uid="{00000000-0005-0000-0000-00000D0D0000}"/>
    <cellStyle name="Uthevingsfarge2 7" xfId="3335" xr:uid="{00000000-0005-0000-0000-00000E0D0000}"/>
    <cellStyle name="Uthevingsfarge2 8" xfId="3336" xr:uid="{00000000-0005-0000-0000-00000F0D0000}"/>
    <cellStyle name="Uthevingsfarge2 9" xfId="3337" xr:uid="{00000000-0005-0000-0000-0000100D0000}"/>
    <cellStyle name="Uthevingsfarge3 10" xfId="3338" xr:uid="{00000000-0005-0000-0000-0000110D0000}"/>
    <cellStyle name="Uthevingsfarge3 11" xfId="3339" xr:uid="{00000000-0005-0000-0000-0000120D0000}"/>
    <cellStyle name="Uthevingsfarge3 12" xfId="3340" xr:uid="{00000000-0005-0000-0000-0000130D0000}"/>
    <cellStyle name="Uthevingsfarge3 13" xfId="3341" xr:uid="{00000000-0005-0000-0000-0000140D0000}"/>
    <cellStyle name="Uthevingsfarge3 14" xfId="3342" xr:uid="{00000000-0005-0000-0000-0000150D0000}"/>
    <cellStyle name="Uthevingsfarge3 15" xfId="3343" xr:uid="{00000000-0005-0000-0000-0000160D0000}"/>
    <cellStyle name="Uthevingsfarge3 16" xfId="3344" xr:uid="{00000000-0005-0000-0000-0000170D0000}"/>
    <cellStyle name="Uthevingsfarge3 2" xfId="3345" xr:uid="{00000000-0005-0000-0000-0000180D0000}"/>
    <cellStyle name="Uthevingsfarge3 3" xfId="3346" xr:uid="{00000000-0005-0000-0000-0000190D0000}"/>
    <cellStyle name="Uthevingsfarge3 4" xfId="3347" xr:uid="{00000000-0005-0000-0000-00001A0D0000}"/>
    <cellStyle name="Uthevingsfarge3 5" xfId="3348" xr:uid="{00000000-0005-0000-0000-00001B0D0000}"/>
    <cellStyle name="Uthevingsfarge3 6" xfId="3349" xr:uid="{00000000-0005-0000-0000-00001C0D0000}"/>
    <cellStyle name="Uthevingsfarge3 7" xfId="3350" xr:uid="{00000000-0005-0000-0000-00001D0D0000}"/>
    <cellStyle name="Uthevingsfarge3 8" xfId="3351" xr:uid="{00000000-0005-0000-0000-00001E0D0000}"/>
    <cellStyle name="Uthevingsfarge3 9" xfId="3352" xr:uid="{00000000-0005-0000-0000-00001F0D0000}"/>
    <cellStyle name="Uthevingsfarge4 10" xfId="3353" xr:uid="{00000000-0005-0000-0000-0000200D0000}"/>
    <cellStyle name="Uthevingsfarge4 11" xfId="3354" xr:uid="{00000000-0005-0000-0000-0000210D0000}"/>
    <cellStyle name="Uthevingsfarge4 12" xfId="3355" xr:uid="{00000000-0005-0000-0000-0000220D0000}"/>
    <cellStyle name="Uthevingsfarge4 13" xfId="3356" xr:uid="{00000000-0005-0000-0000-0000230D0000}"/>
    <cellStyle name="Uthevingsfarge4 14" xfId="3357" xr:uid="{00000000-0005-0000-0000-0000240D0000}"/>
    <cellStyle name="Uthevingsfarge4 15" xfId="3358" xr:uid="{00000000-0005-0000-0000-0000250D0000}"/>
    <cellStyle name="Uthevingsfarge4 16" xfId="3359" xr:uid="{00000000-0005-0000-0000-0000260D0000}"/>
    <cellStyle name="Uthevingsfarge4 2" xfId="3360" xr:uid="{00000000-0005-0000-0000-0000270D0000}"/>
    <cellStyle name="Uthevingsfarge4 3" xfId="3361" xr:uid="{00000000-0005-0000-0000-0000280D0000}"/>
    <cellStyle name="Uthevingsfarge4 4" xfId="3362" xr:uid="{00000000-0005-0000-0000-0000290D0000}"/>
    <cellStyle name="Uthevingsfarge4 5" xfId="3363" xr:uid="{00000000-0005-0000-0000-00002A0D0000}"/>
    <cellStyle name="Uthevingsfarge4 6" xfId="3364" xr:uid="{00000000-0005-0000-0000-00002B0D0000}"/>
    <cellStyle name="Uthevingsfarge4 7" xfId="3365" xr:uid="{00000000-0005-0000-0000-00002C0D0000}"/>
    <cellStyle name="Uthevingsfarge4 8" xfId="3366" xr:uid="{00000000-0005-0000-0000-00002D0D0000}"/>
    <cellStyle name="Uthevingsfarge4 9" xfId="3367" xr:uid="{00000000-0005-0000-0000-00002E0D0000}"/>
    <cellStyle name="Uthevingsfarge5 10" xfId="3368" xr:uid="{00000000-0005-0000-0000-00002F0D0000}"/>
    <cellStyle name="Uthevingsfarge5 11" xfId="3369" xr:uid="{00000000-0005-0000-0000-0000300D0000}"/>
    <cellStyle name="Uthevingsfarge5 12" xfId="3370" xr:uid="{00000000-0005-0000-0000-0000310D0000}"/>
    <cellStyle name="Uthevingsfarge5 13" xfId="3371" xr:uid="{00000000-0005-0000-0000-0000320D0000}"/>
    <cellStyle name="Uthevingsfarge5 14" xfId="3372" xr:uid="{00000000-0005-0000-0000-0000330D0000}"/>
    <cellStyle name="Uthevingsfarge5 15" xfId="3373" xr:uid="{00000000-0005-0000-0000-0000340D0000}"/>
    <cellStyle name="Uthevingsfarge5 16" xfId="3374" xr:uid="{00000000-0005-0000-0000-0000350D0000}"/>
    <cellStyle name="Uthevingsfarge5 2" xfId="3375" xr:uid="{00000000-0005-0000-0000-0000360D0000}"/>
    <cellStyle name="Uthevingsfarge5 3" xfId="3376" xr:uid="{00000000-0005-0000-0000-0000370D0000}"/>
    <cellStyle name="Uthevingsfarge5 4" xfId="3377" xr:uid="{00000000-0005-0000-0000-0000380D0000}"/>
    <cellStyle name="Uthevingsfarge5 5" xfId="3378" xr:uid="{00000000-0005-0000-0000-0000390D0000}"/>
    <cellStyle name="Uthevingsfarge5 6" xfId="3379" xr:uid="{00000000-0005-0000-0000-00003A0D0000}"/>
    <cellStyle name="Uthevingsfarge5 7" xfId="3380" xr:uid="{00000000-0005-0000-0000-00003B0D0000}"/>
    <cellStyle name="Uthevingsfarge5 8" xfId="3381" xr:uid="{00000000-0005-0000-0000-00003C0D0000}"/>
    <cellStyle name="Uthevingsfarge5 9" xfId="3382" xr:uid="{00000000-0005-0000-0000-00003D0D0000}"/>
    <cellStyle name="Uthevingsfarge6 10" xfId="3383" xr:uid="{00000000-0005-0000-0000-00003E0D0000}"/>
    <cellStyle name="Uthevingsfarge6 11" xfId="3384" xr:uid="{00000000-0005-0000-0000-00003F0D0000}"/>
    <cellStyle name="Uthevingsfarge6 12" xfId="3385" xr:uid="{00000000-0005-0000-0000-0000400D0000}"/>
    <cellStyle name="Uthevingsfarge6 13" xfId="3386" xr:uid="{00000000-0005-0000-0000-0000410D0000}"/>
    <cellStyle name="Uthevingsfarge6 14" xfId="3387" xr:uid="{00000000-0005-0000-0000-0000420D0000}"/>
    <cellStyle name="Uthevingsfarge6 15" xfId="3388" xr:uid="{00000000-0005-0000-0000-0000430D0000}"/>
    <cellStyle name="Uthevingsfarge6 16" xfId="3389" xr:uid="{00000000-0005-0000-0000-0000440D0000}"/>
    <cellStyle name="Uthevingsfarge6 2" xfId="3390" xr:uid="{00000000-0005-0000-0000-0000450D0000}"/>
    <cellStyle name="Uthevingsfarge6 3" xfId="3391" xr:uid="{00000000-0005-0000-0000-0000460D0000}"/>
    <cellStyle name="Uthevingsfarge6 4" xfId="3392" xr:uid="{00000000-0005-0000-0000-0000470D0000}"/>
    <cellStyle name="Uthevingsfarge6 5" xfId="3393" xr:uid="{00000000-0005-0000-0000-0000480D0000}"/>
    <cellStyle name="Uthevingsfarge6 6" xfId="3394" xr:uid="{00000000-0005-0000-0000-0000490D0000}"/>
    <cellStyle name="Uthevingsfarge6 7" xfId="3395" xr:uid="{00000000-0005-0000-0000-00004A0D0000}"/>
    <cellStyle name="Uthevingsfarge6 8" xfId="3396" xr:uid="{00000000-0005-0000-0000-00004B0D0000}"/>
    <cellStyle name="Uthevingsfarge6 9" xfId="3397" xr:uid="{00000000-0005-0000-0000-00004C0D0000}"/>
    <cellStyle name="Varseltekst 10" xfId="3398" xr:uid="{00000000-0005-0000-0000-00004D0D0000}"/>
    <cellStyle name="Varseltekst 11" xfId="3399" xr:uid="{00000000-0005-0000-0000-00004E0D0000}"/>
    <cellStyle name="Varseltekst 12" xfId="3400" xr:uid="{00000000-0005-0000-0000-00004F0D0000}"/>
    <cellStyle name="Varseltekst 13" xfId="3401" xr:uid="{00000000-0005-0000-0000-0000500D0000}"/>
    <cellStyle name="Varseltekst 14" xfId="3402" xr:uid="{00000000-0005-0000-0000-0000510D0000}"/>
    <cellStyle name="Varseltekst 15" xfId="3403" xr:uid="{00000000-0005-0000-0000-0000520D0000}"/>
    <cellStyle name="Varseltekst 16" xfId="3404" xr:uid="{00000000-0005-0000-0000-0000530D0000}"/>
    <cellStyle name="Varseltekst 2" xfId="3405" xr:uid="{00000000-0005-0000-0000-0000540D0000}"/>
    <cellStyle name="Varseltekst 3" xfId="3406" xr:uid="{00000000-0005-0000-0000-0000550D0000}"/>
    <cellStyle name="Varseltekst 4" xfId="3407" xr:uid="{00000000-0005-0000-0000-0000560D0000}"/>
    <cellStyle name="Varseltekst 5" xfId="3408" xr:uid="{00000000-0005-0000-0000-0000570D0000}"/>
    <cellStyle name="Varseltekst 6" xfId="3409" xr:uid="{00000000-0005-0000-0000-0000580D0000}"/>
    <cellStyle name="Varseltekst 7" xfId="3410" xr:uid="{00000000-0005-0000-0000-0000590D0000}"/>
    <cellStyle name="Varseltekst 8" xfId="3411" xr:uid="{00000000-0005-0000-0000-00005A0D0000}"/>
    <cellStyle name="Varseltekst 9" xfId="3412" xr:uid="{00000000-0005-0000-0000-00005B0D0000}"/>
    <cellStyle name="Warning Text" xfId="3413" xr:uid="{00000000-0005-0000-0000-00005C0D0000}"/>
  </cellStyles>
  <dxfs count="0"/>
  <tableStyles count="0" defaultTableStyle="TableStyleMedium9" defaultPivotStyle="PivotStyleLight16"/>
  <colors>
    <mruColors>
      <color rgb="FF8C141C"/>
      <color rgb="FF8C14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64742332371"/>
          <c:y val="5.0523411536015479E-2"/>
          <c:w val="0.5234376339360014"/>
          <c:h val="0.73245366513486154"/>
        </c:manualLayout>
      </c:layout>
      <c:lineChart>
        <c:grouping val="standard"/>
        <c:varyColors val="0"/>
        <c:ser>
          <c:idx val="0"/>
          <c:order val="0"/>
          <c:tx>
            <c:strRef>
              <c:f>[5]Forfallsmismatch!$B$2</c:f>
              <c:strCache>
                <c:ptCount val="1"/>
                <c:pt idx="0">
                  <c:v>Covered Bonds</c:v>
                </c:pt>
              </c:strCache>
            </c:strRef>
          </c:tx>
          <c:marker>
            <c:symbol val="none"/>
          </c:marker>
          <c:cat>
            <c:numRef>
              <c:f>[5]Forfallsmismatch!$A$3:$A$66</c:f>
              <c:numCache>
                <c:formatCode>General</c:formatCode>
                <c:ptCount val="64"/>
                <c:pt idx="0">
                  <c:v>41274</c:v>
                </c:pt>
                <c:pt idx="1">
                  <c:v>41305</c:v>
                </c:pt>
                <c:pt idx="2">
                  <c:v>41333</c:v>
                </c:pt>
                <c:pt idx="3">
                  <c:v>41364</c:v>
                </c:pt>
                <c:pt idx="4">
                  <c:v>41394</c:v>
                </c:pt>
                <c:pt idx="5">
                  <c:v>41425</c:v>
                </c:pt>
                <c:pt idx="6">
                  <c:v>41455</c:v>
                </c:pt>
                <c:pt idx="7">
                  <c:v>41486</c:v>
                </c:pt>
                <c:pt idx="8">
                  <c:v>41517</c:v>
                </c:pt>
                <c:pt idx="9">
                  <c:v>41547</c:v>
                </c:pt>
                <c:pt idx="10">
                  <c:v>41578</c:v>
                </c:pt>
                <c:pt idx="11">
                  <c:v>41608</c:v>
                </c:pt>
                <c:pt idx="12">
                  <c:v>41639</c:v>
                </c:pt>
                <c:pt idx="13">
                  <c:v>41670</c:v>
                </c:pt>
                <c:pt idx="14">
                  <c:v>41698</c:v>
                </c:pt>
                <c:pt idx="15">
                  <c:v>41729</c:v>
                </c:pt>
                <c:pt idx="16">
                  <c:v>41759</c:v>
                </c:pt>
                <c:pt idx="17">
                  <c:v>41790</c:v>
                </c:pt>
                <c:pt idx="18">
                  <c:v>41820</c:v>
                </c:pt>
                <c:pt idx="19">
                  <c:v>41851</c:v>
                </c:pt>
                <c:pt idx="20">
                  <c:v>41882</c:v>
                </c:pt>
                <c:pt idx="21">
                  <c:v>41912</c:v>
                </c:pt>
                <c:pt idx="22">
                  <c:v>41943</c:v>
                </c:pt>
                <c:pt idx="23">
                  <c:v>41973</c:v>
                </c:pt>
                <c:pt idx="24">
                  <c:v>42004</c:v>
                </c:pt>
                <c:pt idx="25">
                  <c:v>42035</c:v>
                </c:pt>
                <c:pt idx="26">
                  <c:v>42063</c:v>
                </c:pt>
                <c:pt idx="27">
                  <c:v>42094</c:v>
                </c:pt>
                <c:pt idx="28">
                  <c:v>42124</c:v>
                </c:pt>
                <c:pt idx="29">
                  <c:v>42155</c:v>
                </c:pt>
                <c:pt idx="30">
                  <c:v>42185</c:v>
                </c:pt>
                <c:pt idx="31">
                  <c:v>42216</c:v>
                </c:pt>
                <c:pt idx="32">
                  <c:v>42247</c:v>
                </c:pt>
                <c:pt idx="33">
                  <c:v>42277</c:v>
                </c:pt>
                <c:pt idx="34">
                  <c:v>42308</c:v>
                </c:pt>
                <c:pt idx="35">
                  <c:v>42338</c:v>
                </c:pt>
                <c:pt idx="36">
                  <c:v>42369</c:v>
                </c:pt>
                <c:pt idx="37">
                  <c:v>42400</c:v>
                </c:pt>
                <c:pt idx="38">
                  <c:v>42429</c:v>
                </c:pt>
                <c:pt idx="39">
                  <c:v>42460</c:v>
                </c:pt>
                <c:pt idx="40">
                  <c:v>42490</c:v>
                </c:pt>
                <c:pt idx="41">
                  <c:v>42521</c:v>
                </c:pt>
                <c:pt idx="42">
                  <c:v>42551</c:v>
                </c:pt>
                <c:pt idx="43">
                  <c:v>42582</c:v>
                </c:pt>
                <c:pt idx="44">
                  <c:v>42613</c:v>
                </c:pt>
                <c:pt idx="45">
                  <c:v>42643</c:v>
                </c:pt>
                <c:pt idx="46">
                  <c:v>42674</c:v>
                </c:pt>
                <c:pt idx="47">
                  <c:v>42704</c:v>
                </c:pt>
                <c:pt idx="48">
                  <c:v>42735</c:v>
                </c:pt>
                <c:pt idx="49">
                  <c:v>42766</c:v>
                </c:pt>
                <c:pt idx="50">
                  <c:v>42794</c:v>
                </c:pt>
                <c:pt idx="51">
                  <c:v>42825</c:v>
                </c:pt>
                <c:pt idx="52">
                  <c:v>42855</c:v>
                </c:pt>
                <c:pt idx="53">
                  <c:v>42886</c:v>
                </c:pt>
                <c:pt idx="54">
                  <c:v>42916</c:v>
                </c:pt>
                <c:pt idx="55">
                  <c:v>42947</c:v>
                </c:pt>
                <c:pt idx="56">
                  <c:v>42978</c:v>
                </c:pt>
                <c:pt idx="57">
                  <c:v>43008</c:v>
                </c:pt>
                <c:pt idx="58">
                  <c:v>43039</c:v>
                </c:pt>
                <c:pt idx="59">
                  <c:v>43069</c:v>
                </c:pt>
                <c:pt idx="60">
                  <c:v>43100</c:v>
                </c:pt>
                <c:pt idx="61">
                  <c:v>43131</c:v>
                </c:pt>
                <c:pt idx="62">
                  <c:v>43159</c:v>
                </c:pt>
                <c:pt idx="63">
                  <c:v>43190</c:v>
                </c:pt>
              </c:numCache>
            </c:numRef>
          </c:cat>
          <c:val>
            <c:numRef>
              <c:f>[5]Forfallsmismatch!$B$3:$B$66</c:f>
              <c:numCache>
                <c:formatCode>General</c:formatCode>
                <c:ptCount val="64"/>
                <c:pt idx="0">
                  <c:v>2965000000</c:v>
                </c:pt>
                <c:pt idx="1">
                  <c:v>2965000000</c:v>
                </c:pt>
                <c:pt idx="2">
                  <c:v>2965000000</c:v>
                </c:pt>
                <c:pt idx="3">
                  <c:v>2965000000</c:v>
                </c:pt>
                <c:pt idx="4">
                  <c:v>2965000000</c:v>
                </c:pt>
                <c:pt idx="5">
                  <c:v>2965000000</c:v>
                </c:pt>
                <c:pt idx="6">
                  <c:v>2275000000</c:v>
                </c:pt>
                <c:pt idx="7">
                  <c:v>2275000000</c:v>
                </c:pt>
                <c:pt idx="8">
                  <c:v>2275000000</c:v>
                </c:pt>
                <c:pt idx="9">
                  <c:v>2275000000</c:v>
                </c:pt>
                <c:pt idx="10">
                  <c:v>2275000000</c:v>
                </c:pt>
                <c:pt idx="11">
                  <c:v>2075000000</c:v>
                </c:pt>
                <c:pt idx="12">
                  <c:v>2075000000</c:v>
                </c:pt>
                <c:pt idx="13">
                  <c:v>2075000000</c:v>
                </c:pt>
                <c:pt idx="14">
                  <c:v>2075000000</c:v>
                </c:pt>
                <c:pt idx="15">
                  <c:v>2075000000</c:v>
                </c:pt>
                <c:pt idx="16">
                  <c:v>2075000000</c:v>
                </c:pt>
                <c:pt idx="17">
                  <c:v>1225000000</c:v>
                </c:pt>
                <c:pt idx="18">
                  <c:v>1225000000</c:v>
                </c:pt>
                <c:pt idx="19">
                  <c:v>1225000000</c:v>
                </c:pt>
                <c:pt idx="20">
                  <c:v>1225000000</c:v>
                </c:pt>
                <c:pt idx="21">
                  <c:v>1225000000</c:v>
                </c:pt>
                <c:pt idx="22">
                  <c:v>1225000000</c:v>
                </c:pt>
                <c:pt idx="23">
                  <c:v>1225000000</c:v>
                </c:pt>
                <c:pt idx="24">
                  <c:v>1225000000</c:v>
                </c:pt>
                <c:pt idx="25">
                  <c:v>1225000000</c:v>
                </c:pt>
                <c:pt idx="26">
                  <c:v>1225000000</c:v>
                </c:pt>
                <c:pt idx="27">
                  <c:v>1225000000</c:v>
                </c:pt>
                <c:pt idx="28">
                  <c:v>875000000</c:v>
                </c:pt>
                <c:pt idx="29">
                  <c:v>875000000</c:v>
                </c:pt>
                <c:pt idx="30">
                  <c:v>875000000</c:v>
                </c:pt>
                <c:pt idx="31">
                  <c:v>875000000</c:v>
                </c:pt>
                <c:pt idx="32">
                  <c:v>875000000</c:v>
                </c:pt>
                <c:pt idx="33">
                  <c:v>575000000</c:v>
                </c:pt>
                <c:pt idx="34">
                  <c:v>575000000</c:v>
                </c:pt>
                <c:pt idx="35">
                  <c:v>575000000</c:v>
                </c:pt>
                <c:pt idx="36">
                  <c:v>575000000</c:v>
                </c:pt>
                <c:pt idx="37">
                  <c:v>575000000</c:v>
                </c:pt>
                <c:pt idx="38">
                  <c:v>575000000</c:v>
                </c:pt>
                <c:pt idx="39">
                  <c:v>575000000</c:v>
                </c:pt>
                <c:pt idx="40">
                  <c:v>575000000</c:v>
                </c:pt>
                <c:pt idx="41">
                  <c:v>575000000</c:v>
                </c:pt>
                <c:pt idx="42">
                  <c:v>575000000</c:v>
                </c:pt>
                <c:pt idx="43">
                  <c:v>275000000</c:v>
                </c:pt>
                <c:pt idx="44">
                  <c:v>275000000</c:v>
                </c:pt>
                <c:pt idx="45">
                  <c:v>275000000</c:v>
                </c:pt>
                <c:pt idx="46">
                  <c:v>275000000</c:v>
                </c:pt>
                <c:pt idx="47">
                  <c:v>275000000</c:v>
                </c:pt>
                <c:pt idx="48">
                  <c:v>275000000</c:v>
                </c:pt>
                <c:pt idx="49">
                  <c:v>275000000</c:v>
                </c:pt>
                <c:pt idx="50">
                  <c:v>200000000</c:v>
                </c:pt>
                <c:pt idx="51">
                  <c:v>200000000</c:v>
                </c:pt>
                <c:pt idx="52">
                  <c:v>200000000</c:v>
                </c:pt>
                <c:pt idx="53">
                  <c:v>200000000</c:v>
                </c:pt>
                <c:pt idx="54">
                  <c:v>200000000</c:v>
                </c:pt>
                <c:pt idx="55">
                  <c:v>200000000</c:v>
                </c:pt>
                <c:pt idx="56">
                  <c:v>200000000</c:v>
                </c:pt>
                <c:pt idx="57">
                  <c:v>0</c:v>
                </c:pt>
                <c:pt idx="58">
                  <c:v>0</c:v>
                </c:pt>
                <c:pt idx="59">
                  <c:v>0</c:v>
                </c:pt>
                <c:pt idx="60">
                  <c:v>0</c:v>
                </c:pt>
                <c:pt idx="61">
                  <c:v>0</c:v>
                </c:pt>
                <c:pt idx="62">
                  <c:v>0</c:v>
                </c:pt>
                <c:pt idx="63">
                  <c:v>0</c:v>
                </c:pt>
              </c:numCache>
            </c:numRef>
          </c:val>
          <c:smooth val="0"/>
          <c:extLst>
            <c:ext xmlns:c16="http://schemas.microsoft.com/office/drawing/2014/chart" uri="{C3380CC4-5D6E-409C-BE32-E72D297353CC}">
              <c16:uniqueId val="{00000000-CB63-49DD-ABDA-C22E0191E794}"/>
            </c:ext>
          </c:extLst>
        </c:ser>
        <c:ser>
          <c:idx val="1"/>
          <c:order val="1"/>
          <c:tx>
            <c:strRef>
              <c:f>[5]Forfallsmismatch!$E$2</c:f>
              <c:strCache>
                <c:ptCount val="1"/>
                <c:pt idx="0">
                  <c:v>Planned amortisation cover pool</c:v>
                </c:pt>
              </c:strCache>
            </c:strRef>
          </c:tx>
          <c:marker>
            <c:symbol val="none"/>
          </c:marker>
          <c:cat>
            <c:numRef>
              <c:f>[5]Forfallsmismatch!$A$3:$A$66</c:f>
              <c:numCache>
                <c:formatCode>General</c:formatCode>
                <c:ptCount val="64"/>
                <c:pt idx="0">
                  <c:v>41274</c:v>
                </c:pt>
                <c:pt idx="1">
                  <c:v>41305</c:v>
                </c:pt>
                <c:pt idx="2">
                  <c:v>41333</c:v>
                </c:pt>
                <c:pt idx="3">
                  <c:v>41364</c:v>
                </c:pt>
                <c:pt idx="4">
                  <c:v>41394</c:v>
                </c:pt>
                <c:pt idx="5">
                  <c:v>41425</c:v>
                </c:pt>
                <c:pt idx="6">
                  <c:v>41455</c:v>
                </c:pt>
                <c:pt idx="7">
                  <c:v>41486</c:v>
                </c:pt>
                <c:pt idx="8">
                  <c:v>41517</c:v>
                </c:pt>
                <c:pt idx="9">
                  <c:v>41547</c:v>
                </c:pt>
                <c:pt idx="10">
                  <c:v>41578</c:v>
                </c:pt>
                <c:pt idx="11">
                  <c:v>41608</c:v>
                </c:pt>
                <c:pt idx="12">
                  <c:v>41639</c:v>
                </c:pt>
                <c:pt idx="13">
                  <c:v>41670</c:v>
                </c:pt>
                <c:pt idx="14">
                  <c:v>41698</c:v>
                </c:pt>
                <c:pt idx="15">
                  <c:v>41729</c:v>
                </c:pt>
                <c:pt idx="16">
                  <c:v>41759</c:v>
                </c:pt>
                <c:pt idx="17">
                  <c:v>41790</c:v>
                </c:pt>
                <c:pt idx="18">
                  <c:v>41820</c:v>
                </c:pt>
                <c:pt idx="19">
                  <c:v>41851</c:v>
                </c:pt>
                <c:pt idx="20">
                  <c:v>41882</c:v>
                </c:pt>
                <c:pt idx="21">
                  <c:v>41912</c:v>
                </c:pt>
                <c:pt idx="22">
                  <c:v>41943</c:v>
                </c:pt>
                <c:pt idx="23">
                  <c:v>41973</c:v>
                </c:pt>
                <c:pt idx="24">
                  <c:v>42004</c:v>
                </c:pt>
                <c:pt idx="25">
                  <c:v>42035</c:v>
                </c:pt>
                <c:pt idx="26">
                  <c:v>42063</c:v>
                </c:pt>
                <c:pt idx="27">
                  <c:v>42094</c:v>
                </c:pt>
                <c:pt idx="28">
                  <c:v>42124</c:v>
                </c:pt>
                <c:pt idx="29">
                  <c:v>42155</c:v>
                </c:pt>
                <c:pt idx="30">
                  <c:v>42185</c:v>
                </c:pt>
                <c:pt idx="31">
                  <c:v>42216</c:v>
                </c:pt>
                <c:pt idx="32">
                  <c:v>42247</c:v>
                </c:pt>
                <c:pt idx="33">
                  <c:v>42277</c:v>
                </c:pt>
                <c:pt idx="34">
                  <c:v>42308</c:v>
                </c:pt>
                <c:pt idx="35">
                  <c:v>42338</c:v>
                </c:pt>
                <c:pt idx="36">
                  <c:v>42369</c:v>
                </c:pt>
                <c:pt idx="37">
                  <c:v>42400</c:v>
                </c:pt>
                <c:pt idx="38">
                  <c:v>42429</c:v>
                </c:pt>
                <c:pt idx="39">
                  <c:v>42460</c:v>
                </c:pt>
                <c:pt idx="40">
                  <c:v>42490</c:v>
                </c:pt>
                <c:pt idx="41">
                  <c:v>42521</c:v>
                </c:pt>
                <c:pt idx="42">
                  <c:v>42551</c:v>
                </c:pt>
                <c:pt idx="43">
                  <c:v>42582</c:v>
                </c:pt>
                <c:pt idx="44">
                  <c:v>42613</c:v>
                </c:pt>
                <c:pt idx="45">
                  <c:v>42643</c:v>
                </c:pt>
                <c:pt idx="46">
                  <c:v>42674</c:v>
                </c:pt>
                <c:pt idx="47">
                  <c:v>42704</c:v>
                </c:pt>
                <c:pt idx="48">
                  <c:v>42735</c:v>
                </c:pt>
                <c:pt idx="49">
                  <c:v>42766</c:v>
                </c:pt>
                <c:pt idx="50">
                  <c:v>42794</c:v>
                </c:pt>
                <c:pt idx="51">
                  <c:v>42825</c:v>
                </c:pt>
                <c:pt idx="52">
                  <c:v>42855</c:v>
                </c:pt>
                <c:pt idx="53">
                  <c:v>42886</c:v>
                </c:pt>
                <c:pt idx="54">
                  <c:v>42916</c:v>
                </c:pt>
                <c:pt idx="55">
                  <c:v>42947</c:v>
                </c:pt>
                <c:pt idx="56">
                  <c:v>42978</c:v>
                </c:pt>
                <c:pt idx="57">
                  <c:v>43008</c:v>
                </c:pt>
                <c:pt idx="58">
                  <c:v>43039</c:v>
                </c:pt>
                <c:pt idx="59">
                  <c:v>43069</c:v>
                </c:pt>
                <c:pt idx="60">
                  <c:v>43100</c:v>
                </c:pt>
                <c:pt idx="61">
                  <c:v>43131</c:v>
                </c:pt>
                <c:pt idx="62">
                  <c:v>43159</c:v>
                </c:pt>
                <c:pt idx="63">
                  <c:v>43190</c:v>
                </c:pt>
              </c:numCache>
            </c:numRef>
          </c:cat>
          <c:val>
            <c:numRef>
              <c:f>[5]Forfallsmismatch!$E$3:$E$66</c:f>
              <c:numCache>
                <c:formatCode>General</c:formatCode>
                <c:ptCount val="64"/>
                <c:pt idx="0">
                  <c:v>3644000000</c:v>
                </c:pt>
                <c:pt idx="1">
                  <c:v>3634416082.5715165</c:v>
                </c:pt>
                <c:pt idx="2">
                  <c:v>3624799899.2876902</c:v>
                </c:pt>
                <c:pt idx="3">
                  <c:v>3615151341.5201416</c:v>
                </c:pt>
                <c:pt idx="4">
                  <c:v>3605470300.274776</c:v>
                </c:pt>
                <c:pt idx="5">
                  <c:v>3595756666.1905503</c:v>
                </c:pt>
                <c:pt idx="6">
                  <c:v>3586010329.5382419</c:v>
                </c:pt>
                <c:pt idx="7">
                  <c:v>3576231180.2192035</c:v>
                </c:pt>
                <c:pt idx="8">
                  <c:v>3566419107.7641244</c:v>
                </c:pt>
                <c:pt idx="9">
                  <c:v>3556574001.33178</c:v>
                </c:pt>
                <c:pt idx="10">
                  <c:v>3546695749.7077799</c:v>
                </c:pt>
                <c:pt idx="11">
                  <c:v>3536784241.3033123</c:v>
                </c:pt>
                <c:pt idx="12">
                  <c:v>3526839364.153883</c:v>
                </c:pt>
                <c:pt idx="13">
                  <c:v>3516861005.9180508</c:v>
                </c:pt>
                <c:pt idx="14">
                  <c:v>3506849053.8761578</c:v>
                </c:pt>
                <c:pt idx="15">
                  <c:v>3496803394.9290576</c:v>
                </c:pt>
                <c:pt idx="16">
                  <c:v>3486723915.5968347</c:v>
                </c:pt>
                <c:pt idx="17">
                  <c:v>3476610502.0175271</c:v>
                </c:pt>
                <c:pt idx="18">
                  <c:v>3466463039.9458361</c:v>
                </c:pt>
                <c:pt idx="19">
                  <c:v>3456281414.7518363</c:v>
                </c:pt>
                <c:pt idx="20">
                  <c:v>3446065511.4196839</c:v>
                </c:pt>
                <c:pt idx="21">
                  <c:v>3435815214.5463133</c:v>
                </c:pt>
                <c:pt idx="22">
                  <c:v>3425530408.3401356</c:v>
                </c:pt>
                <c:pt idx="23">
                  <c:v>3415210976.6197305</c:v>
                </c:pt>
                <c:pt idx="24">
                  <c:v>3404856802.8125329</c:v>
                </c:pt>
                <c:pt idx="25">
                  <c:v>3394467769.9535184</c:v>
                </c:pt>
                <c:pt idx="26">
                  <c:v>3384043760.6838779</c:v>
                </c:pt>
                <c:pt idx="27">
                  <c:v>3373584657.2496967</c:v>
                </c:pt>
                <c:pt idx="28">
                  <c:v>3363090341.5006204</c:v>
                </c:pt>
                <c:pt idx="29">
                  <c:v>3302560694.8885221</c:v>
                </c:pt>
                <c:pt idx="30">
                  <c:v>3291995598.4661632</c:v>
                </c:pt>
                <c:pt idx="31">
                  <c:v>3281394932.885849</c:v>
                </c:pt>
                <c:pt idx="32">
                  <c:v>3270758578.3980808</c:v>
                </c:pt>
                <c:pt idx="33">
                  <c:v>3260086414.850204</c:v>
                </c:pt>
                <c:pt idx="34">
                  <c:v>3249378321.6850495</c:v>
                </c:pt>
                <c:pt idx="35">
                  <c:v>3238634177.9395719</c:v>
                </c:pt>
                <c:pt idx="36">
                  <c:v>3227853862.243485</c:v>
                </c:pt>
                <c:pt idx="37">
                  <c:v>3217037252.8178878</c:v>
                </c:pt>
                <c:pt idx="38">
                  <c:v>3206184227.4738908</c:v>
                </c:pt>
                <c:pt idx="39">
                  <c:v>3170294663.6112361</c:v>
                </c:pt>
                <c:pt idx="40">
                  <c:v>3159368438.2169104</c:v>
                </c:pt>
                <c:pt idx="41">
                  <c:v>3148405427.8637567</c:v>
                </c:pt>
                <c:pt idx="42">
                  <c:v>3137405508.7090812</c:v>
                </c:pt>
                <c:pt idx="43">
                  <c:v>3126368556.4932513</c:v>
                </c:pt>
                <c:pt idx="44">
                  <c:v>3115294446.5382948</c:v>
                </c:pt>
                <c:pt idx="45">
                  <c:v>3104183053.74649</c:v>
                </c:pt>
                <c:pt idx="46">
                  <c:v>3093034252.5989528</c:v>
                </c:pt>
                <c:pt idx="47">
                  <c:v>3081847917.1542192</c:v>
                </c:pt>
                <c:pt idx="48">
                  <c:v>3070623921.0468211</c:v>
                </c:pt>
                <c:pt idx="49">
                  <c:v>3059362137.4858618</c:v>
                </c:pt>
                <c:pt idx="50">
                  <c:v>3023062439.2535806</c:v>
                </c:pt>
                <c:pt idx="51">
                  <c:v>3011724698.7039175</c:v>
                </c:pt>
                <c:pt idx="52">
                  <c:v>3000348787.7610703</c:v>
                </c:pt>
                <c:pt idx="53">
                  <c:v>2988934577.9180489</c:v>
                </c:pt>
                <c:pt idx="54">
                  <c:v>2977481940.2352223</c:v>
                </c:pt>
                <c:pt idx="55">
                  <c:v>2965990745.3388643</c:v>
                </c:pt>
                <c:pt idx="56">
                  <c:v>2929460863.4196877</c:v>
                </c:pt>
                <c:pt idx="57">
                  <c:v>2917892164.2313838</c:v>
                </c:pt>
                <c:pt idx="58">
                  <c:v>2906284517.0891457</c:v>
                </c:pt>
                <c:pt idx="59">
                  <c:v>2894637790.8681955</c:v>
                </c:pt>
                <c:pt idx="60">
                  <c:v>2882951854.0023012</c:v>
                </c:pt>
                <c:pt idx="61">
                  <c:v>2871226574.4822922</c:v>
                </c:pt>
                <c:pt idx="62">
                  <c:v>2859461819.8545656</c:v>
                </c:pt>
                <c:pt idx="63">
                  <c:v>2847657457.2195921</c:v>
                </c:pt>
              </c:numCache>
            </c:numRef>
          </c:val>
          <c:smooth val="0"/>
          <c:extLst>
            <c:ext xmlns:c16="http://schemas.microsoft.com/office/drawing/2014/chart" uri="{C3380CC4-5D6E-409C-BE32-E72D297353CC}">
              <c16:uniqueId val="{00000001-CB63-49DD-ABDA-C22E0191E794}"/>
            </c:ext>
          </c:extLst>
        </c:ser>
        <c:ser>
          <c:idx val="2"/>
          <c:order val="2"/>
          <c:tx>
            <c:strRef>
              <c:f>[5]Forfallsmismatch!$F$2</c:f>
              <c:strCache>
                <c:ptCount val="1"/>
                <c:pt idx="0">
                  <c:v>Real amortisation cover pool (3% Prepayments)*</c:v>
                </c:pt>
              </c:strCache>
            </c:strRef>
          </c:tx>
          <c:marker>
            <c:symbol val="none"/>
          </c:marker>
          <c:cat>
            <c:numRef>
              <c:f>[5]Forfallsmismatch!$A$3:$A$66</c:f>
              <c:numCache>
                <c:formatCode>General</c:formatCode>
                <c:ptCount val="64"/>
                <c:pt idx="0">
                  <c:v>41274</c:v>
                </c:pt>
                <c:pt idx="1">
                  <c:v>41305</c:v>
                </c:pt>
                <c:pt idx="2">
                  <c:v>41333</c:v>
                </c:pt>
                <c:pt idx="3">
                  <c:v>41364</c:v>
                </c:pt>
                <c:pt idx="4">
                  <c:v>41394</c:v>
                </c:pt>
                <c:pt idx="5">
                  <c:v>41425</c:v>
                </c:pt>
                <c:pt idx="6">
                  <c:v>41455</c:v>
                </c:pt>
                <c:pt idx="7">
                  <c:v>41486</c:v>
                </c:pt>
                <c:pt idx="8">
                  <c:v>41517</c:v>
                </c:pt>
                <c:pt idx="9">
                  <c:v>41547</c:v>
                </c:pt>
                <c:pt idx="10">
                  <c:v>41578</c:v>
                </c:pt>
                <c:pt idx="11">
                  <c:v>41608</c:v>
                </c:pt>
                <c:pt idx="12">
                  <c:v>41639</c:v>
                </c:pt>
                <c:pt idx="13">
                  <c:v>41670</c:v>
                </c:pt>
                <c:pt idx="14">
                  <c:v>41698</c:v>
                </c:pt>
                <c:pt idx="15">
                  <c:v>41729</c:v>
                </c:pt>
                <c:pt idx="16">
                  <c:v>41759</c:v>
                </c:pt>
                <c:pt idx="17">
                  <c:v>41790</c:v>
                </c:pt>
                <c:pt idx="18">
                  <c:v>41820</c:v>
                </c:pt>
                <c:pt idx="19">
                  <c:v>41851</c:v>
                </c:pt>
                <c:pt idx="20">
                  <c:v>41882</c:v>
                </c:pt>
                <c:pt idx="21">
                  <c:v>41912</c:v>
                </c:pt>
                <c:pt idx="22">
                  <c:v>41943</c:v>
                </c:pt>
                <c:pt idx="23">
                  <c:v>41973</c:v>
                </c:pt>
                <c:pt idx="24">
                  <c:v>42004</c:v>
                </c:pt>
                <c:pt idx="25">
                  <c:v>42035</c:v>
                </c:pt>
                <c:pt idx="26">
                  <c:v>42063</c:v>
                </c:pt>
                <c:pt idx="27">
                  <c:v>42094</c:v>
                </c:pt>
                <c:pt idx="28">
                  <c:v>42124</c:v>
                </c:pt>
                <c:pt idx="29">
                  <c:v>42155</c:v>
                </c:pt>
                <c:pt idx="30">
                  <c:v>42185</c:v>
                </c:pt>
                <c:pt idx="31">
                  <c:v>42216</c:v>
                </c:pt>
                <c:pt idx="32">
                  <c:v>42247</c:v>
                </c:pt>
                <c:pt idx="33">
                  <c:v>42277</c:v>
                </c:pt>
                <c:pt idx="34">
                  <c:v>42308</c:v>
                </c:pt>
                <c:pt idx="35">
                  <c:v>42338</c:v>
                </c:pt>
                <c:pt idx="36">
                  <c:v>42369</c:v>
                </c:pt>
                <c:pt idx="37">
                  <c:v>42400</c:v>
                </c:pt>
                <c:pt idx="38">
                  <c:v>42429</c:v>
                </c:pt>
                <c:pt idx="39">
                  <c:v>42460</c:v>
                </c:pt>
                <c:pt idx="40">
                  <c:v>42490</c:v>
                </c:pt>
                <c:pt idx="41">
                  <c:v>42521</c:v>
                </c:pt>
                <c:pt idx="42">
                  <c:v>42551</c:v>
                </c:pt>
                <c:pt idx="43">
                  <c:v>42582</c:v>
                </c:pt>
                <c:pt idx="44">
                  <c:v>42613</c:v>
                </c:pt>
                <c:pt idx="45">
                  <c:v>42643</c:v>
                </c:pt>
                <c:pt idx="46">
                  <c:v>42674</c:v>
                </c:pt>
                <c:pt idx="47">
                  <c:v>42704</c:v>
                </c:pt>
                <c:pt idx="48">
                  <c:v>42735</c:v>
                </c:pt>
                <c:pt idx="49">
                  <c:v>42766</c:v>
                </c:pt>
                <c:pt idx="50">
                  <c:v>42794</c:v>
                </c:pt>
                <c:pt idx="51">
                  <c:v>42825</c:v>
                </c:pt>
                <c:pt idx="52">
                  <c:v>42855</c:v>
                </c:pt>
                <c:pt idx="53">
                  <c:v>42886</c:v>
                </c:pt>
                <c:pt idx="54">
                  <c:v>42916</c:v>
                </c:pt>
                <c:pt idx="55">
                  <c:v>42947</c:v>
                </c:pt>
                <c:pt idx="56">
                  <c:v>42978</c:v>
                </c:pt>
                <c:pt idx="57">
                  <c:v>43008</c:v>
                </c:pt>
                <c:pt idx="58">
                  <c:v>43039</c:v>
                </c:pt>
                <c:pt idx="59">
                  <c:v>43069</c:v>
                </c:pt>
                <c:pt idx="60">
                  <c:v>43100</c:v>
                </c:pt>
                <c:pt idx="61">
                  <c:v>43131</c:v>
                </c:pt>
                <c:pt idx="62">
                  <c:v>43159</c:v>
                </c:pt>
                <c:pt idx="63">
                  <c:v>43190</c:v>
                </c:pt>
              </c:numCache>
            </c:numRef>
          </c:cat>
          <c:val>
            <c:numRef>
              <c:f>[5]Forfallsmismatch!$F$3:$F$66</c:f>
              <c:numCache>
                <c:formatCode>General</c:formatCode>
                <c:ptCount val="64"/>
                <c:pt idx="0">
                  <c:v>3644000000</c:v>
                </c:pt>
                <c:pt idx="1">
                  <c:v>3539990000</c:v>
                </c:pt>
                <c:pt idx="2">
                  <c:v>3439100300</c:v>
                </c:pt>
                <c:pt idx="3">
                  <c:v>3341237291</c:v>
                </c:pt>
                <c:pt idx="4">
                  <c:v>3246310172.27</c:v>
                </c:pt>
                <c:pt idx="5">
                  <c:v>3154230867.1019001</c:v>
                </c:pt>
                <c:pt idx="6">
                  <c:v>3064913941.0888429</c:v>
                </c:pt>
                <c:pt idx="7">
                  <c:v>2978276522.8561773</c:v>
                </c:pt>
                <c:pt idx="8">
                  <c:v>2894238227.1704922</c:v>
                </c:pt>
                <c:pt idx="9">
                  <c:v>2812721080.3553772</c:v>
                </c:pt>
                <c:pt idx="10">
                  <c:v>2733649447.944716</c:v>
                </c:pt>
                <c:pt idx="11">
                  <c:v>2656949964.5063744</c:v>
                </c:pt>
                <c:pt idx="12">
                  <c:v>2582551465.5711832</c:v>
                </c:pt>
                <c:pt idx="13">
                  <c:v>2510384921.6040478</c:v>
                </c:pt>
                <c:pt idx="14">
                  <c:v>2440383373.9559264</c:v>
                </c:pt>
                <c:pt idx="15">
                  <c:v>2372481872.7372484</c:v>
                </c:pt>
                <c:pt idx="16">
                  <c:v>2306617416.555131</c:v>
                </c:pt>
                <c:pt idx="17">
                  <c:v>2242728894.0584769</c:v>
                </c:pt>
                <c:pt idx="18">
                  <c:v>2180757027.2367225</c:v>
                </c:pt>
                <c:pt idx="19">
                  <c:v>2120644316.4196208</c:v>
                </c:pt>
                <c:pt idx="20">
                  <c:v>2062334986.927032</c:v>
                </c:pt>
                <c:pt idx="21">
                  <c:v>2005774937.319221</c:v>
                </c:pt>
                <c:pt idx="22">
                  <c:v>1950911689.1996443</c:v>
                </c:pt>
                <c:pt idx="23">
                  <c:v>1897694338.5236549</c:v>
                </c:pt>
                <c:pt idx="24">
                  <c:v>1846073508.3679452</c:v>
                </c:pt>
                <c:pt idx="25">
                  <c:v>1796001303.1169069</c:v>
                </c:pt>
                <c:pt idx="26">
                  <c:v>1747431264.0233996</c:v>
                </c:pt>
                <c:pt idx="27">
                  <c:v>1700318326.1026976</c:v>
                </c:pt>
                <c:pt idx="28">
                  <c:v>1654618776.3196166</c:v>
                </c:pt>
                <c:pt idx="29">
                  <c:v>1560290213.0300281</c:v>
                </c:pt>
                <c:pt idx="30">
                  <c:v>1517291506.6391273</c:v>
                </c:pt>
                <c:pt idx="31">
                  <c:v>1475582761.4399533</c:v>
                </c:pt>
                <c:pt idx="32">
                  <c:v>1435125278.5967548</c:v>
                </c:pt>
                <c:pt idx="33">
                  <c:v>1395881520.238852</c:v>
                </c:pt>
                <c:pt idx="34">
                  <c:v>1357815074.6316864</c:v>
                </c:pt>
                <c:pt idx="35">
                  <c:v>1320890622.3927357</c:v>
                </c:pt>
                <c:pt idx="36">
                  <c:v>1285073903.7209537</c:v>
                </c:pt>
                <c:pt idx="37">
                  <c:v>1250331686.6093252</c:v>
                </c:pt>
                <c:pt idx="38">
                  <c:v>1216631736.0110455</c:v>
                </c:pt>
                <c:pt idx="39">
                  <c:v>1158942783.9307141</c:v>
                </c:pt>
                <c:pt idx="40">
                  <c:v>1127234500.4127927</c:v>
                </c:pt>
                <c:pt idx="41">
                  <c:v>1096477465.4004087</c:v>
                </c:pt>
                <c:pt idx="42">
                  <c:v>1066643141.4383965</c:v>
                </c:pt>
                <c:pt idx="43">
                  <c:v>1037703847.1952446</c:v>
                </c:pt>
                <c:pt idx="44">
                  <c:v>1009632731.7793872</c:v>
                </c:pt>
                <c:pt idx="45">
                  <c:v>982403749.82600558</c:v>
                </c:pt>
                <c:pt idx="46">
                  <c:v>955991637.3312254</c:v>
                </c:pt>
                <c:pt idx="47">
                  <c:v>930371888.21128857</c:v>
                </c:pt>
                <c:pt idx="48">
                  <c:v>905520731.56494987</c:v>
                </c:pt>
                <c:pt idx="49">
                  <c:v>881415109.61800134</c:v>
                </c:pt>
                <c:pt idx="50">
                  <c:v>833032656.32946134</c:v>
                </c:pt>
                <c:pt idx="51">
                  <c:v>810351676.63957751</c:v>
                </c:pt>
                <c:pt idx="52">
                  <c:v>788351126.34039021</c:v>
                </c:pt>
                <c:pt idx="53">
                  <c:v>767010592.55017853</c:v>
                </c:pt>
                <c:pt idx="54">
                  <c:v>746310274.77367318</c:v>
                </c:pt>
                <c:pt idx="55">
                  <c:v>726230966.53046298</c:v>
                </c:pt>
                <c:pt idx="56">
                  <c:v>681754037.53454912</c:v>
                </c:pt>
                <c:pt idx="57">
                  <c:v>662861416.40851259</c:v>
                </c:pt>
                <c:pt idx="58">
                  <c:v>644535573.91625714</c:v>
                </c:pt>
                <c:pt idx="59">
                  <c:v>626759506.69876945</c:v>
                </c:pt>
                <c:pt idx="60">
                  <c:v>609516721.49780631</c:v>
                </c:pt>
                <c:pt idx="61">
                  <c:v>592791219.85287213</c:v>
                </c:pt>
                <c:pt idx="62">
                  <c:v>576567483.25728595</c:v>
                </c:pt>
                <c:pt idx="63">
                  <c:v>560830458.75956738</c:v>
                </c:pt>
              </c:numCache>
            </c:numRef>
          </c:val>
          <c:smooth val="0"/>
          <c:extLst>
            <c:ext xmlns:c16="http://schemas.microsoft.com/office/drawing/2014/chart" uri="{C3380CC4-5D6E-409C-BE32-E72D297353CC}">
              <c16:uniqueId val="{00000002-CB63-49DD-ABDA-C22E0191E794}"/>
            </c:ext>
          </c:extLst>
        </c:ser>
        <c:dLbls>
          <c:showLegendKey val="0"/>
          <c:showVal val="0"/>
          <c:showCatName val="0"/>
          <c:showSerName val="0"/>
          <c:showPercent val="0"/>
          <c:showBubbleSize val="0"/>
        </c:dLbls>
        <c:smooth val="0"/>
        <c:axId val="195670512"/>
        <c:axId val="195670904"/>
      </c:lineChart>
      <c:catAx>
        <c:axId val="195670512"/>
        <c:scaling>
          <c:orientation val="minMax"/>
        </c:scaling>
        <c:delete val="0"/>
        <c:axPos val="b"/>
        <c:numFmt formatCode="General" sourceLinked="1"/>
        <c:majorTickMark val="out"/>
        <c:minorTickMark val="none"/>
        <c:tickLblPos val="nextTo"/>
        <c:crossAx val="195670904"/>
        <c:crosses val="autoZero"/>
        <c:auto val="1"/>
        <c:lblAlgn val="ctr"/>
        <c:lblOffset val="100"/>
        <c:noMultiLvlLbl val="0"/>
      </c:catAx>
      <c:valAx>
        <c:axId val="195670904"/>
        <c:scaling>
          <c:orientation val="minMax"/>
        </c:scaling>
        <c:delete val="0"/>
        <c:axPos val="l"/>
        <c:majorGridlines/>
        <c:numFmt formatCode="0.0" sourceLinked="0"/>
        <c:majorTickMark val="out"/>
        <c:minorTickMark val="none"/>
        <c:tickLblPos val="nextTo"/>
        <c:crossAx val="195670512"/>
        <c:crosses val="autoZero"/>
        <c:crossBetween val="between"/>
        <c:dispUnits>
          <c:builtInUnit val="billions"/>
          <c:dispUnitsLbl>
            <c:layout>
              <c:manualLayout>
                <c:xMode val="edge"/>
                <c:yMode val="edge"/>
                <c:x val="3.0555555555555582E-2"/>
                <c:y val="0.22732648002333075"/>
              </c:manualLayout>
            </c:layout>
            <c:tx>
              <c:rich>
                <a:bodyPr/>
                <a:lstStyle/>
                <a:p>
                  <a:pPr>
                    <a:defRPr/>
                  </a:pPr>
                  <a:r>
                    <a:rPr lang="nb-NO"/>
                    <a:t>NOK bn</a:t>
                  </a:r>
                </a:p>
              </c:rich>
            </c:tx>
          </c:dispUnitsLbl>
        </c:dispUnits>
      </c:valAx>
    </c:plotArea>
    <c:legend>
      <c:legendPos val="r"/>
      <c:layout>
        <c:manualLayout>
          <c:xMode val="edge"/>
          <c:yMode val="edge"/>
          <c:x val="0.64979766513469961"/>
          <c:y val="0.2940897404889235"/>
          <c:w val="0.350202334865302"/>
          <c:h val="0.4118201607051686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64742332374"/>
          <c:y val="5.05234115360155E-2"/>
          <c:w val="0.5234376339360014"/>
          <c:h val="0.73245366513486154"/>
        </c:manualLayout>
      </c:layout>
      <c:lineChart>
        <c:grouping val="standard"/>
        <c:varyColors val="0"/>
        <c:ser>
          <c:idx val="0"/>
          <c:order val="0"/>
          <c:tx>
            <c:strRef>
              <c:f>[6]Forfallsmismatch!$B$2</c:f>
              <c:strCache>
                <c:ptCount val="1"/>
                <c:pt idx="0">
                  <c:v>Covered Bonds</c:v>
                </c:pt>
              </c:strCache>
            </c:strRef>
          </c:tx>
          <c:marker>
            <c:symbol val="none"/>
          </c:marker>
          <c:cat>
            <c:numRef>
              <c:f>[6]Forfallsmismatch!$A$3:$A$66</c:f>
              <c:numCache>
                <c:formatCode>General</c:formatCode>
                <c:ptCount val="64"/>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pt idx="61">
                  <c:v>43039</c:v>
                </c:pt>
                <c:pt idx="62">
                  <c:v>43069</c:v>
                </c:pt>
                <c:pt idx="63">
                  <c:v>43100</c:v>
                </c:pt>
              </c:numCache>
            </c:numRef>
          </c:cat>
          <c:val>
            <c:numRef>
              <c:f>[6]Forfallsmismatch!$B$3:$B$66</c:f>
              <c:numCache>
                <c:formatCode>General</c:formatCode>
                <c:ptCount val="64"/>
                <c:pt idx="0">
                  <c:v>2965000000</c:v>
                </c:pt>
                <c:pt idx="1">
                  <c:v>2965000000</c:v>
                </c:pt>
                <c:pt idx="2">
                  <c:v>2965000000</c:v>
                </c:pt>
                <c:pt idx="3">
                  <c:v>2965000000</c:v>
                </c:pt>
                <c:pt idx="4">
                  <c:v>2965000000</c:v>
                </c:pt>
                <c:pt idx="5">
                  <c:v>2965000000</c:v>
                </c:pt>
                <c:pt idx="6">
                  <c:v>2965000000</c:v>
                </c:pt>
                <c:pt idx="7">
                  <c:v>2965000000</c:v>
                </c:pt>
                <c:pt idx="8">
                  <c:v>2965000000</c:v>
                </c:pt>
                <c:pt idx="9">
                  <c:v>2275000000</c:v>
                </c:pt>
                <c:pt idx="10">
                  <c:v>2275000000</c:v>
                </c:pt>
                <c:pt idx="11">
                  <c:v>2275000000</c:v>
                </c:pt>
                <c:pt idx="12">
                  <c:v>2275000000</c:v>
                </c:pt>
                <c:pt idx="13">
                  <c:v>2275000000</c:v>
                </c:pt>
                <c:pt idx="14">
                  <c:v>2075000000</c:v>
                </c:pt>
                <c:pt idx="15">
                  <c:v>2075000000</c:v>
                </c:pt>
                <c:pt idx="16">
                  <c:v>2075000000</c:v>
                </c:pt>
                <c:pt idx="17">
                  <c:v>2075000000</c:v>
                </c:pt>
                <c:pt idx="18">
                  <c:v>2075000000</c:v>
                </c:pt>
                <c:pt idx="19">
                  <c:v>2075000000</c:v>
                </c:pt>
                <c:pt idx="20">
                  <c:v>1225000000</c:v>
                </c:pt>
                <c:pt idx="21">
                  <c:v>1225000000</c:v>
                </c:pt>
                <c:pt idx="22">
                  <c:v>1225000000</c:v>
                </c:pt>
                <c:pt idx="23">
                  <c:v>1225000000</c:v>
                </c:pt>
                <c:pt idx="24">
                  <c:v>1225000000</c:v>
                </c:pt>
                <c:pt idx="25">
                  <c:v>1225000000</c:v>
                </c:pt>
                <c:pt idx="26">
                  <c:v>1225000000</c:v>
                </c:pt>
                <c:pt idx="27">
                  <c:v>1225000000</c:v>
                </c:pt>
                <c:pt idx="28">
                  <c:v>1225000000</c:v>
                </c:pt>
                <c:pt idx="29">
                  <c:v>1225000000</c:v>
                </c:pt>
                <c:pt idx="30">
                  <c:v>1225000000</c:v>
                </c:pt>
                <c:pt idx="31">
                  <c:v>875000000</c:v>
                </c:pt>
                <c:pt idx="32">
                  <c:v>875000000</c:v>
                </c:pt>
                <c:pt idx="33">
                  <c:v>875000000</c:v>
                </c:pt>
                <c:pt idx="34">
                  <c:v>875000000</c:v>
                </c:pt>
                <c:pt idx="35">
                  <c:v>875000000</c:v>
                </c:pt>
                <c:pt idx="36">
                  <c:v>575000000</c:v>
                </c:pt>
                <c:pt idx="37">
                  <c:v>575000000</c:v>
                </c:pt>
                <c:pt idx="38">
                  <c:v>575000000</c:v>
                </c:pt>
                <c:pt idx="39">
                  <c:v>575000000</c:v>
                </c:pt>
                <c:pt idx="40">
                  <c:v>575000000</c:v>
                </c:pt>
                <c:pt idx="41">
                  <c:v>575000000</c:v>
                </c:pt>
                <c:pt idx="42">
                  <c:v>575000000</c:v>
                </c:pt>
                <c:pt idx="43">
                  <c:v>575000000</c:v>
                </c:pt>
                <c:pt idx="44">
                  <c:v>575000000</c:v>
                </c:pt>
                <c:pt idx="45">
                  <c:v>575000000</c:v>
                </c:pt>
                <c:pt idx="46">
                  <c:v>275000000</c:v>
                </c:pt>
                <c:pt idx="47">
                  <c:v>275000000</c:v>
                </c:pt>
                <c:pt idx="48">
                  <c:v>275000000</c:v>
                </c:pt>
                <c:pt idx="49">
                  <c:v>275000000</c:v>
                </c:pt>
                <c:pt idx="50">
                  <c:v>275000000</c:v>
                </c:pt>
                <c:pt idx="51">
                  <c:v>275000000</c:v>
                </c:pt>
                <c:pt idx="52">
                  <c:v>275000000</c:v>
                </c:pt>
                <c:pt idx="53">
                  <c:v>200000000</c:v>
                </c:pt>
                <c:pt idx="54">
                  <c:v>200000000</c:v>
                </c:pt>
                <c:pt idx="55">
                  <c:v>200000000</c:v>
                </c:pt>
                <c:pt idx="56">
                  <c:v>200000000</c:v>
                </c:pt>
                <c:pt idx="57">
                  <c:v>200000000</c:v>
                </c:pt>
                <c:pt idx="58">
                  <c:v>200000000</c:v>
                </c:pt>
                <c:pt idx="59">
                  <c:v>200000000</c:v>
                </c:pt>
                <c:pt idx="60">
                  <c:v>0</c:v>
                </c:pt>
                <c:pt idx="61">
                  <c:v>0</c:v>
                </c:pt>
                <c:pt idx="62">
                  <c:v>0</c:v>
                </c:pt>
                <c:pt idx="63">
                  <c:v>0</c:v>
                </c:pt>
              </c:numCache>
            </c:numRef>
          </c:val>
          <c:smooth val="0"/>
          <c:extLst>
            <c:ext xmlns:c16="http://schemas.microsoft.com/office/drawing/2014/chart" uri="{C3380CC4-5D6E-409C-BE32-E72D297353CC}">
              <c16:uniqueId val="{00000000-4231-430D-ABF7-B7DD38BB2DA5}"/>
            </c:ext>
          </c:extLst>
        </c:ser>
        <c:ser>
          <c:idx val="1"/>
          <c:order val="1"/>
          <c:tx>
            <c:strRef>
              <c:f>[6]Forfallsmismatch!$E$2</c:f>
              <c:strCache>
                <c:ptCount val="1"/>
                <c:pt idx="0">
                  <c:v>Planned amortisation cover pool</c:v>
                </c:pt>
              </c:strCache>
            </c:strRef>
          </c:tx>
          <c:marker>
            <c:symbol val="none"/>
          </c:marker>
          <c:cat>
            <c:numRef>
              <c:f>[6]Forfallsmismatch!$A$3:$A$66</c:f>
              <c:numCache>
                <c:formatCode>General</c:formatCode>
                <c:ptCount val="64"/>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pt idx="61">
                  <c:v>43039</c:v>
                </c:pt>
                <c:pt idx="62">
                  <c:v>43069</c:v>
                </c:pt>
                <c:pt idx="63">
                  <c:v>43100</c:v>
                </c:pt>
              </c:numCache>
            </c:numRef>
          </c:cat>
          <c:val>
            <c:numRef>
              <c:f>[6]Forfallsmismatch!$E$3:$E$66</c:f>
              <c:numCache>
                <c:formatCode>General</c:formatCode>
                <c:ptCount val="64"/>
                <c:pt idx="0">
                  <c:v>3635000000</c:v>
                </c:pt>
                <c:pt idx="1">
                  <c:v>3625598528.0720296</c:v>
                </c:pt>
                <c:pt idx="2">
                  <c:v>3616165404.5219021</c:v>
                </c:pt>
                <c:pt idx="3">
                  <c:v>3606700522.7891555</c:v>
                </c:pt>
                <c:pt idx="4">
                  <c:v>3597203775.9545751</c:v>
                </c:pt>
                <c:pt idx="5">
                  <c:v>3587675056.7389855</c:v>
                </c:pt>
                <c:pt idx="6">
                  <c:v>3578114257.5020361</c:v>
                </c:pt>
                <c:pt idx="7">
                  <c:v>3568521270.2409897</c:v>
                </c:pt>
                <c:pt idx="8">
                  <c:v>3558895986.5894971</c:v>
                </c:pt>
                <c:pt idx="9">
                  <c:v>3549238297.8163781</c:v>
                </c:pt>
                <c:pt idx="10">
                  <c:v>3539548094.8243899</c:v>
                </c:pt>
                <c:pt idx="11">
                  <c:v>3529825268.1489949</c:v>
                </c:pt>
                <c:pt idx="12">
                  <c:v>3520069707.9571261</c:v>
                </c:pt>
                <c:pt idx="13">
                  <c:v>3510281304.0459452</c:v>
                </c:pt>
                <c:pt idx="14">
                  <c:v>3500459945.8415961</c:v>
                </c:pt>
                <c:pt idx="15">
                  <c:v>3490605522.3979592</c:v>
                </c:pt>
                <c:pt idx="16">
                  <c:v>3480717922.3953953</c:v>
                </c:pt>
                <c:pt idx="17">
                  <c:v>3470797034.1394897</c:v>
                </c:pt>
                <c:pt idx="18">
                  <c:v>3460842745.5597887</c:v>
                </c:pt>
                <c:pt idx="19">
                  <c:v>3450854944.2085366</c:v>
                </c:pt>
                <c:pt idx="20">
                  <c:v>3440833517.2594013</c:v>
                </c:pt>
                <c:pt idx="21">
                  <c:v>3430778351.5062046</c:v>
                </c:pt>
                <c:pt idx="22">
                  <c:v>3420689333.3616385</c:v>
                </c:pt>
                <c:pt idx="23">
                  <c:v>3410566348.8559856</c:v>
                </c:pt>
                <c:pt idx="24">
                  <c:v>3400409283.6358304</c:v>
                </c:pt>
                <c:pt idx="25">
                  <c:v>3390218022.9627676</c:v>
                </c:pt>
                <c:pt idx="26">
                  <c:v>3379992451.7121053</c:v>
                </c:pt>
                <c:pt idx="27">
                  <c:v>3369732454.3715658</c:v>
                </c:pt>
                <c:pt idx="28">
                  <c:v>3359437915.0399799</c:v>
                </c:pt>
                <c:pt idx="29">
                  <c:v>3349108717.4259772</c:v>
                </c:pt>
                <c:pt idx="30">
                  <c:v>3338744744.8466744</c:v>
                </c:pt>
                <c:pt idx="31">
                  <c:v>3328345880.2263546</c:v>
                </c:pt>
                <c:pt idx="32">
                  <c:v>3267912006.0951462</c:v>
                </c:pt>
                <c:pt idx="33">
                  <c:v>3257443004.5876966</c:v>
                </c:pt>
                <c:pt idx="34">
                  <c:v>3246938757.4418383</c:v>
                </c:pt>
                <c:pt idx="35">
                  <c:v>3236399145.9972553</c:v>
                </c:pt>
                <c:pt idx="36">
                  <c:v>3225824051.1941423</c:v>
                </c:pt>
                <c:pt idx="37">
                  <c:v>3215213353.5718589</c:v>
                </c:pt>
                <c:pt idx="38">
                  <c:v>3204566933.2675805</c:v>
                </c:pt>
                <c:pt idx="39">
                  <c:v>3193884670.0149446</c:v>
                </c:pt>
                <c:pt idx="40">
                  <c:v>3183166443.1426911</c:v>
                </c:pt>
                <c:pt idx="41">
                  <c:v>3172412131.5733013</c:v>
                </c:pt>
                <c:pt idx="42">
                  <c:v>3136621613.8216276</c:v>
                </c:pt>
                <c:pt idx="43">
                  <c:v>3125794767.9935236</c:v>
                </c:pt>
                <c:pt idx="44">
                  <c:v>3114931471.7844648</c:v>
                </c:pt>
                <c:pt idx="45">
                  <c:v>3104031602.478169</c:v>
                </c:pt>
                <c:pt idx="46">
                  <c:v>3093095036.9452085</c:v>
                </c:pt>
                <c:pt idx="47">
                  <c:v>3082121651.6416206</c:v>
                </c:pt>
                <c:pt idx="48">
                  <c:v>3071111322.6075101</c:v>
                </c:pt>
                <c:pt idx="49">
                  <c:v>3060063925.465652</c:v>
                </c:pt>
                <c:pt idx="50">
                  <c:v>3048979335.4200826</c:v>
                </c:pt>
                <c:pt idx="51">
                  <c:v>3037857427.2546935</c:v>
                </c:pt>
                <c:pt idx="52">
                  <c:v>3026698075.3318138</c:v>
                </c:pt>
                <c:pt idx="53">
                  <c:v>2990501153.5907941</c:v>
                </c:pt>
                <c:pt idx="54">
                  <c:v>2979266535.5465794</c:v>
                </c:pt>
                <c:pt idx="55">
                  <c:v>2967994094.2882824</c:v>
                </c:pt>
                <c:pt idx="56">
                  <c:v>2956683702.4777493</c:v>
                </c:pt>
                <c:pt idx="57">
                  <c:v>2945335232.3481207</c:v>
                </c:pt>
                <c:pt idx="58">
                  <c:v>2933948555.7023892</c:v>
                </c:pt>
                <c:pt idx="59">
                  <c:v>2897523543.9119506</c:v>
                </c:pt>
                <c:pt idx="60">
                  <c:v>2886060067.9151506</c:v>
                </c:pt>
                <c:pt idx="61">
                  <c:v>2874557998.2158279</c:v>
                </c:pt>
                <c:pt idx="62">
                  <c:v>2863017204.8818507</c:v>
                </c:pt>
                <c:pt idx="63">
                  <c:v>2851437557.5436497</c:v>
                </c:pt>
              </c:numCache>
            </c:numRef>
          </c:val>
          <c:smooth val="0"/>
          <c:extLst>
            <c:ext xmlns:c16="http://schemas.microsoft.com/office/drawing/2014/chart" uri="{C3380CC4-5D6E-409C-BE32-E72D297353CC}">
              <c16:uniqueId val="{00000001-4231-430D-ABF7-B7DD38BB2DA5}"/>
            </c:ext>
          </c:extLst>
        </c:ser>
        <c:ser>
          <c:idx val="2"/>
          <c:order val="2"/>
          <c:tx>
            <c:strRef>
              <c:f>[6]Forfallsmismatch!$F$2</c:f>
              <c:strCache>
                <c:ptCount val="1"/>
                <c:pt idx="0">
                  <c:v>Real amortisation cover pool (3% Prepayments)*</c:v>
                </c:pt>
              </c:strCache>
            </c:strRef>
          </c:tx>
          <c:marker>
            <c:symbol val="none"/>
          </c:marker>
          <c:cat>
            <c:numRef>
              <c:f>[6]Forfallsmismatch!$A$3:$A$66</c:f>
              <c:numCache>
                <c:formatCode>General</c:formatCode>
                <c:ptCount val="64"/>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pt idx="61">
                  <c:v>43039</c:v>
                </c:pt>
                <c:pt idx="62">
                  <c:v>43069</c:v>
                </c:pt>
                <c:pt idx="63">
                  <c:v>43100</c:v>
                </c:pt>
              </c:numCache>
            </c:numRef>
          </c:cat>
          <c:val>
            <c:numRef>
              <c:f>[6]Forfallsmismatch!$F$3:$F$66</c:f>
              <c:numCache>
                <c:formatCode>General</c:formatCode>
                <c:ptCount val="64"/>
                <c:pt idx="0">
                  <c:v>3635000000</c:v>
                </c:pt>
                <c:pt idx="1">
                  <c:v>3532970000</c:v>
                </c:pt>
                <c:pt idx="2">
                  <c:v>3434000900</c:v>
                </c:pt>
                <c:pt idx="3">
                  <c:v>3338000873</c:v>
                </c:pt>
                <c:pt idx="4">
                  <c:v>3244880846.8099999</c:v>
                </c:pt>
                <c:pt idx="5">
                  <c:v>3154554421.4056997</c:v>
                </c:pt>
                <c:pt idx="6">
                  <c:v>3066937788.7635288</c:v>
                </c:pt>
                <c:pt idx="7">
                  <c:v>2981949655.1006227</c:v>
                </c:pt>
                <c:pt idx="8">
                  <c:v>2899511165.4476037</c:v>
                </c:pt>
                <c:pt idx="9">
                  <c:v>2819545830.4841757</c:v>
                </c:pt>
                <c:pt idx="10">
                  <c:v>2741979455.5696502</c:v>
                </c:pt>
                <c:pt idx="11">
                  <c:v>2666740071.9025607</c:v>
                </c:pt>
                <c:pt idx="12">
                  <c:v>2593757869.7454839</c:v>
                </c:pt>
                <c:pt idx="13">
                  <c:v>2522965133.6531191</c:v>
                </c:pt>
                <c:pt idx="14">
                  <c:v>2454296179.6435256</c:v>
                </c:pt>
                <c:pt idx="15">
                  <c:v>2387687294.25422</c:v>
                </c:pt>
                <c:pt idx="16">
                  <c:v>2323076675.4265933</c:v>
                </c:pt>
                <c:pt idx="17">
                  <c:v>2260404375.1637955</c:v>
                </c:pt>
                <c:pt idx="18">
                  <c:v>2199612243.9088817</c:v>
                </c:pt>
                <c:pt idx="19">
                  <c:v>2140643876.5916152</c:v>
                </c:pt>
                <c:pt idx="20">
                  <c:v>2083444560.2938666</c:v>
                </c:pt>
                <c:pt idx="21">
                  <c:v>2027961223.4850507</c:v>
                </c:pt>
                <c:pt idx="22">
                  <c:v>1974142386.7804992</c:v>
                </c:pt>
                <c:pt idx="23">
                  <c:v>1921938115.1770842</c:v>
                </c:pt>
                <c:pt idx="24">
                  <c:v>1871299971.7217717</c:v>
                </c:pt>
                <c:pt idx="25">
                  <c:v>1822180972.5701184</c:v>
                </c:pt>
                <c:pt idx="26">
                  <c:v>1774535543.3930149</c:v>
                </c:pt>
                <c:pt idx="27">
                  <c:v>1728319477.0912244</c:v>
                </c:pt>
                <c:pt idx="28">
                  <c:v>1683489892.7784877</c:v>
                </c:pt>
                <c:pt idx="29">
                  <c:v>1640005195.9951329</c:v>
                </c:pt>
                <c:pt idx="30">
                  <c:v>1597825040.115279</c:v>
                </c:pt>
                <c:pt idx="31">
                  <c:v>1556910288.9118207</c:v>
                </c:pt>
                <c:pt idx="32">
                  <c:v>1467222980.2444661</c:v>
                </c:pt>
                <c:pt idx="33">
                  <c:v>1428726290.837132</c:v>
                </c:pt>
                <c:pt idx="34">
                  <c:v>1391384502.1120179</c:v>
                </c:pt>
                <c:pt idx="35">
                  <c:v>1355162967.0486574</c:v>
                </c:pt>
                <c:pt idx="36">
                  <c:v>1320028078.0371976</c:v>
                </c:pt>
                <c:pt idx="37">
                  <c:v>1285947235.6960816</c:v>
                </c:pt>
                <c:pt idx="38">
                  <c:v>1252888818.6251993</c:v>
                </c:pt>
                <c:pt idx="39">
                  <c:v>1220822154.0664432</c:v>
                </c:pt>
                <c:pt idx="40">
                  <c:v>1189717489.4444499</c:v>
                </c:pt>
                <c:pt idx="41">
                  <c:v>1159545964.7611165</c:v>
                </c:pt>
                <c:pt idx="42">
                  <c:v>1105279585.8182828</c:v>
                </c:pt>
                <c:pt idx="43">
                  <c:v>1076891198.2437344</c:v>
                </c:pt>
                <c:pt idx="44">
                  <c:v>1049354462.2964224</c:v>
                </c:pt>
                <c:pt idx="45">
                  <c:v>1022643828.4275297</c:v>
                </c:pt>
                <c:pt idx="46">
                  <c:v>996734513.57470381</c:v>
                </c:pt>
                <c:pt idx="47">
                  <c:v>971602478.16746271</c:v>
                </c:pt>
                <c:pt idx="48">
                  <c:v>947224403.82243884</c:v>
                </c:pt>
                <c:pt idx="49">
                  <c:v>923577671.7077657</c:v>
                </c:pt>
                <c:pt idx="50">
                  <c:v>900640341.55653274</c:v>
                </c:pt>
                <c:pt idx="51">
                  <c:v>878391131.30983675</c:v>
                </c:pt>
                <c:pt idx="52">
                  <c:v>856809397.37054157</c:v>
                </c:pt>
                <c:pt idx="53">
                  <c:v>810875115.44942534</c:v>
                </c:pt>
                <c:pt idx="54">
                  <c:v>790568861.9859426</c:v>
                </c:pt>
                <c:pt idx="55">
                  <c:v>770871796.12636435</c:v>
                </c:pt>
                <c:pt idx="56">
                  <c:v>751765642.24257338</c:v>
                </c:pt>
                <c:pt idx="57">
                  <c:v>733232672.97529614</c:v>
                </c:pt>
                <c:pt idx="58">
                  <c:v>715255692.78603721</c:v>
                </c:pt>
                <c:pt idx="59">
                  <c:v>672818022.00245607</c:v>
                </c:pt>
                <c:pt idx="60">
                  <c:v>655903481.34238243</c:v>
                </c:pt>
                <c:pt idx="61">
                  <c:v>639496376.90211093</c:v>
                </c:pt>
                <c:pt idx="62">
                  <c:v>623581485.59504759</c:v>
                </c:pt>
                <c:pt idx="63">
                  <c:v>608144041.02719617</c:v>
                </c:pt>
              </c:numCache>
            </c:numRef>
          </c:val>
          <c:smooth val="0"/>
          <c:extLst>
            <c:ext xmlns:c16="http://schemas.microsoft.com/office/drawing/2014/chart" uri="{C3380CC4-5D6E-409C-BE32-E72D297353CC}">
              <c16:uniqueId val="{00000002-4231-430D-ABF7-B7DD38BB2DA5}"/>
            </c:ext>
          </c:extLst>
        </c:ser>
        <c:dLbls>
          <c:showLegendKey val="0"/>
          <c:showVal val="0"/>
          <c:showCatName val="0"/>
          <c:showSerName val="0"/>
          <c:showPercent val="0"/>
          <c:showBubbleSize val="0"/>
        </c:dLbls>
        <c:smooth val="0"/>
        <c:axId val="195671688"/>
        <c:axId val="195672080"/>
      </c:lineChart>
      <c:catAx>
        <c:axId val="195671688"/>
        <c:scaling>
          <c:orientation val="minMax"/>
        </c:scaling>
        <c:delete val="0"/>
        <c:axPos val="b"/>
        <c:numFmt formatCode="[$-414]mmm/\ yy;@" sourceLinked="0"/>
        <c:majorTickMark val="out"/>
        <c:minorTickMark val="none"/>
        <c:tickLblPos val="nextTo"/>
        <c:crossAx val="195672080"/>
        <c:crosses val="autoZero"/>
        <c:auto val="1"/>
        <c:lblAlgn val="ctr"/>
        <c:lblOffset val="100"/>
        <c:noMultiLvlLbl val="0"/>
      </c:catAx>
      <c:valAx>
        <c:axId val="195672080"/>
        <c:scaling>
          <c:orientation val="minMax"/>
        </c:scaling>
        <c:delete val="0"/>
        <c:axPos val="l"/>
        <c:majorGridlines/>
        <c:numFmt formatCode="0.0" sourceLinked="0"/>
        <c:majorTickMark val="out"/>
        <c:minorTickMark val="none"/>
        <c:tickLblPos val="nextTo"/>
        <c:crossAx val="195671688"/>
        <c:crosses val="autoZero"/>
        <c:crossBetween val="between"/>
        <c:dispUnits>
          <c:builtInUnit val="billions"/>
          <c:dispUnitsLbl>
            <c:layout>
              <c:manualLayout>
                <c:xMode val="edge"/>
                <c:yMode val="edge"/>
                <c:x val="3.0555555555555582E-2"/>
                <c:y val="0.22732648002333081"/>
              </c:manualLayout>
            </c:layout>
            <c:tx>
              <c:rich>
                <a:bodyPr/>
                <a:lstStyle/>
                <a:p>
                  <a:pPr>
                    <a:defRPr/>
                  </a:pPr>
                  <a:r>
                    <a:rPr lang="nb-NO"/>
                    <a:t>NOK bn</a:t>
                  </a:r>
                </a:p>
              </c:rich>
            </c:tx>
          </c:dispUnitsLbl>
        </c:dispUnits>
      </c:valAx>
    </c:plotArea>
    <c:legend>
      <c:legendPos val="r"/>
      <c:layout>
        <c:manualLayout>
          <c:xMode val="edge"/>
          <c:yMode val="edge"/>
          <c:x val="0.64979766513469983"/>
          <c:y val="0.2940897404889235"/>
          <c:w val="0.350202334865302"/>
          <c:h val="0.4118201607051688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153</xdr:row>
      <xdr:rowOff>0</xdr:rowOff>
    </xdr:from>
    <xdr:to>
      <xdr:col>5</xdr:col>
      <xdr:colOff>47625</xdr:colOff>
      <xdr:row>169</xdr:row>
      <xdr:rowOff>19050</xdr:rowOff>
    </xdr:to>
    <xdr:pic>
      <xdr:nvPicPr>
        <xdr:cNvPr id="5" name="Bild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26908125"/>
          <a:ext cx="10010775"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10" name="Bilde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149</xdr:row>
      <xdr:rowOff>142875</xdr:rowOff>
    </xdr:from>
    <xdr:to>
      <xdr:col>5</xdr:col>
      <xdr:colOff>1223148</xdr:colOff>
      <xdr:row>165</xdr:row>
      <xdr:rowOff>19050</xdr:rowOff>
    </xdr:to>
    <xdr:pic>
      <xdr:nvPicPr>
        <xdr:cNvPr id="11" name="Bild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6450925"/>
          <a:ext cx="11186298"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4" name="Bild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editAs="oneCell">
    <xdr:from>
      <xdr:col>0</xdr:col>
      <xdr:colOff>0</xdr:colOff>
      <xdr:row>151</xdr:row>
      <xdr:rowOff>0</xdr:rowOff>
    </xdr:from>
    <xdr:to>
      <xdr:col>4</xdr:col>
      <xdr:colOff>1348339</xdr:colOff>
      <xdr:row>166</xdr:row>
      <xdr:rowOff>13178</xdr:rowOff>
    </xdr:to>
    <xdr:pic>
      <xdr:nvPicPr>
        <xdr:cNvPr id="11" name="Bild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a:stretch>
          <a:fillRect/>
        </a:stretch>
      </xdr:blipFill>
      <xdr:spPr>
        <a:xfrm>
          <a:off x="0" y="27457400"/>
          <a:ext cx="10028789" cy="2584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editAs="oneCell">
    <xdr:from>
      <xdr:col>0</xdr:col>
      <xdr:colOff>0</xdr:colOff>
      <xdr:row>152</xdr:row>
      <xdr:rowOff>0</xdr:rowOff>
    </xdr:from>
    <xdr:to>
      <xdr:col>5</xdr:col>
      <xdr:colOff>336808</xdr:colOff>
      <xdr:row>169</xdr:row>
      <xdr:rowOff>51678</xdr:rowOff>
    </xdr:to>
    <xdr:pic>
      <xdr:nvPicPr>
        <xdr:cNvPr id="3" name="Bild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27546300"/>
          <a:ext cx="10776208" cy="29663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153</xdr:row>
      <xdr:rowOff>0</xdr:rowOff>
    </xdr:from>
    <xdr:to>
      <xdr:col>5</xdr:col>
      <xdr:colOff>406658</xdr:colOff>
      <xdr:row>170</xdr:row>
      <xdr:rowOff>51678</xdr:rowOff>
    </xdr:to>
    <xdr:pic>
      <xdr:nvPicPr>
        <xdr:cNvPr id="5" name="Bild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26327100"/>
          <a:ext cx="10303133" cy="28044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157</xdr:row>
      <xdr:rowOff>0</xdr:rowOff>
    </xdr:from>
    <xdr:to>
      <xdr:col>4</xdr:col>
      <xdr:colOff>1441415</xdr:colOff>
      <xdr:row>174</xdr:row>
      <xdr:rowOff>51678</xdr:rowOff>
    </xdr:to>
    <xdr:pic>
      <xdr:nvPicPr>
        <xdr:cNvPr id="5" name="Bild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26974800"/>
          <a:ext cx="9851990" cy="28044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157</xdr:row>
      <xdr:rowOff>0</xdr:rowOff>
    </xdr:from>
    <xdr:to>
      <xdr:col>4</xdr:col>
      <xdr:colOff>1441415</xdr:colOff>
      <xdr:row>174</xdr:row>
      <xdr:rowOff>51678</xdr:rowOff>
    </xdr:to>
    <xdr:pic>
      <xdr:nvPicPr>
        <xdr:cNvPr id="3" name="Bild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27136725"/>
          <a:ext cx="9851990" cy="28044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158</xdr:row>
      <xdr:rowOff>0</xdr:rowOff>
    </xdr:from>
    <xdr:to>
      <xdr:col>4</xdr:col>
      <xdr:colOff>1441415</xdr:colOff>
      <xdr:row>175</xdr:row>
      <xdr:rowOff>51678</xdr:rowOff>
    </xdr:to>
    <xdr:pic>
      <xdr:nvPicPr>
        <xdr:cNvPr id="5" name="Bild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27136725"/>
          <a:ext cx="9851990" cy="28044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143</xdr:row>
      <xdr:rowOff>0</xdr:rowOff>
    </xdr:from>
    <xdr:to>
      <xdr:col>4</xdr:col>
      <xdr:colOff>1441415</xdr:colOff>
      <xdr:row>160</xdr:row>
      <xdr:rowOff>51678</xdr:rowOff>
    </xdr:to>
    <xdr:pic>
      <xdr:nvPicPr>
        <xdr:cNvPr id="5" name="Bild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0" y="24688800"/>
          <a:ext cx="9851990" cy="28044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139</xdr:row>
      <xdr:rowOff>0</xdr:rowOff>
    </xdr:from>
    <xdr:to>
      <xdr:col>4</xdr:col>
      <xdr:colOff>1476375</xdr:colOff>
      <xdr:row>156</xdr:row>
      <xdr:rowOff>51678</xdr:rowOff>
    </xdr:to>
    <xdr:pic>
      <xdr:nvPicPr>
        <xdr:cNvPr id="7" name="Bild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0" y="23879175"/>
          <a:ext cx="9886950" cy="28044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467350" y="66675"/>
          <a:ext cx="962025" cy="495300"/>
        </a:xfrm>
        <a:prstGeom prst="rect">
          <a:avLst/>
        </a:prstGeom>
        <a:noFill/>
        <a:ln w="9525">
          <a:noFill/>
          <a:miter lim="800000"/>
          <a:headEnd/>
          <a:tailEnd/>
        </a:ln>
      </xdr:spPr>
    </xdr:pic>
    <xdr:clientData/>
  </xdr:twoCellAnchor>
  <xdr:twoCellAnchor editAs="oneCell">
    <xdr:from>
      <xdr:col>0</xdr:col>
      <xdr:colOff>0</xdr:colOff>
      <xdr:row>137</xdr:row>
      <xdr:rowOff>0</xdr:rowOff>
    </xdr:from>
    <xdr:to>
      <xdr:col>5</xdr:col>
      <xdr:colOff>22577</xdr:colOff>
      <xdr:row>154</xdr:row>
      <xdr:rowOff>51678</xdr:rowOff>
    </xdr:to>
    <xdr:pic>
      <xdr:nvPicPr>
        <xdr:cNvPr id="6" name="Bild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0" y="23745825"/>
          <a:ext cx="9919052" cy="2804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1</xdr:colOff>
      <xdr:row>150</xdr:row>
      <xdr:rowOff>85725</xdr:rowOff>
    </xdr:from>
    <xdr:to>
      <xdr:col>5</xdr:col>
      <xdr:colOff>1</xdr:colOff>
      <xdr:row>166</xdr:row>
      <xdr:rowOff>92359</xdr:rowOff>
    </xdr:to>
    <xdr:pic>
      <xdr:nvPicPr>
        <xdr:cNvPr id="5" name="Bild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1" y="26508075"/>
          <a:ext cx="9963150" cy="2597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1025" name="Bilde 1">
          <a:extLst>
            <a:ext uri="{FF2B5EF4-FFF2-40B4-BE49-F238E27FC236}">
              <a16:creationId xmlns:a16="http://schemas.microsoft.com/office/drawing/2014/main" id="{00000000-0008-0000-1300-00000104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467350" y="66675"/>
          <a:ext cx="962025" cy="495300"/>
        </a:xfrm>
        <a:prstGeom prst="rect">
          <a:avLst/>
        </a:prstGeom>
        <a:noFill/>
        <a:ln w="9525">
          <a:noFill/>
          <a:miter lim="800000"/>
          <a:headEnd/>
          <a:tailEnd/>
        </a:ln>
      </xdr:spPr>
    </xdr:pic>
    <xdr:clientData/>
  </xdr:twoCellAnchor>
  <xdr:twoCellAnchor>
    <xdr:from>
      <xdr:col>0</xdr:col>
      <xdr:colOff>0</xdr:colOff>
      <xdr:row>135</xdr:row>
      <xdr:rowOff>0</xdr:rowOff>
    </xdr:from>
    <xdr:to>
      <xdr:col>5</xdr:col>
      <xdr:colOff>0</xdr:colOff>
      <xdr:row>152</xdr:row>
      <xdr:rowOff>152400</xdr:rowOff>
    </xdr:to>
    <xdr:graphicFrame macro="">
      <xdr:nvGraphicFramePr>
        <xdr:cNvPr id="5" name="Diagram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156</xdr:row>
      <xdr:rowOff>9525</xdr:rowOff>
    </xdr:from>
    <xdr:to>
      <xdr:col>4</xdr:col>
      <xdr:colOff>1485899</xdr:colOff>
      <xdr:row>174</xdr:row>
      <xdr:rowOff>38100</xdr:rowOff>
    </xdr:to>
    <xdr:graphicFrame macro="">
      <xdr:nvGraphicFramePr>
        <xdr:cNvPr id="2" name="Diagram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0</xdr:row>
      <xdr:rowOff>66675</xdr:rowOff>
    </xdr:from>
    <xdr:to>
      <xdr:col>2</xdr:col>
      <xdr:colOff>1190625</xdr:colOff>
      <xdr:row>3</xdr:row>
      <xdr:rowOff>47625</xdr:rowOff>
    </xdr:to>
    <xdr:pic>
      <xdr:nvPicPr>
        <xdr:cNvPr id="3" name="Bilde 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srcRect l="11871" t="24866" r="13503" b="23140"/>
        <a:stretch>
          <a:fillRect/>
        </a:stretch>
      </xdr:blipFill>
      <xdr:spPr bwMode="auto">
        <a:xfrm>
          <a:off x="1752600" y="66675"/>
          <a:ext cx="533400" cy="5524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1</xdr:colOff>
      <xdr:row>154</xdr:row>
      <xdr:rowOff>0</xdr:rowOff>
    </xdr:from>
    <xdr:to>
      <xdr:col>5</xdr:col>
      <xdr:colOff>1</xdr:colOff>
      <xdr:row>170</xdr:row>
      <xdr:rowOff>6634</xdr:rowOff>
    </xdr:to>
    <xdr:pic>
      <xdr:nvPicPr>
        <xdr:cNvPr id="5" name="Bild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1" y="26927175"/>
          <a:ext cx="9963150" cy="2597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152</xdr:row>
      <xdr:rowOff>0</xdr:rowOff>
    </xdr:from>
    <xdr:to>
      <xdr:col>5</xdr:col>
      <xdr:colOff>9525</xdr:colOff>
      <xdr:row>168</xdr:row>
      <xdr:rowOff>9117</xdr:rowOff>
    </xdr:to>
    <xdr:pic>
      <xdr:nvPicPr>
        <xdr:cNvPr id="5" name="Bild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765250"/>
          <a:ext cx="9972675" cy="2599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1</xdr:colOff>
      <xdr:row>152</xdr:row>
      <xdr:rowOff>38100</xdr:rowOff>
    </xdr:from>
    <xdr:to>
      <xdr:col>5</xdr:col>
      <xdr:colOff>19051</xdr:colOff>
      <xdr:row>168</xdr:row>
      <xdr:rowOff>49700</xdr:rowOff>
    </xdr:to>
    <xdr:pic>
      <xdr:nvPicPr>
        <xdr:cNvPr id="5" name="Bild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1" y="26803350"/>
          <a:ext cx="9982200" cy="260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1</xdr:colOff>
      <xdr:row>152</xdr:row>
      <xdr:rowOff>123825</xdr:rowOff>
    </xdr:from>
    <xdr:to>
      <xdr:col>5</xdr:col>
      <xdr:colOff>1</xdr:colOff>
      <xdr:row>168</xdr:row>
      <xdr:rowOff>130459</xdr:rowOff>
    </xdr:to>
    <xdr:pic>
      <xdr:nvPicPr>
        <xdr:cNvPr id="5" name="Bild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917650"/>
          <a:ext cx="9963150" cy="2597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3" name="Bild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362575" y="66675"/>
          <a:ext cx="962025" cy="495300"/>
        </a:xfrm>
        <a:prstGeom prst="rect">
          <a:avLst/>
        </a:prstGeom>
        <a:noFill/>
        <a:ln w="9525">
          <a:noFill/>
          <a:miter lim="800000"/>
          <a:headEnd/>
          <a:tailEnd/>
        </a:ln>
      </xdr:spPr>
    </xdr:pic>
    <xdr:clientData/>
  </xdr:twoCellAnchor>
  <xdr:twoCellAnchor editAs="oneCell">
    <xdr:from>
      <xdr:col>0</xdr:col>
      <xdr:colOff>0</xdr:colOff>
      <xdr:row>154</xdr:row>
      <xdr:rowOff>9525</xdr:rowOff>
    </xdr:from>
    <xdr:to>
      <xdr:col>5</xdr:col>
      <xdr:colOff>57150</xdr:colOff>
      <xdr:row>170</xdr:row>
      <xdr:rowOff>38100</xdr:rowOff>
    </xdr:to>
    <xdr:pic>
      <xdr:nvPicPr>
        <xdr:cNvPr id="5" name="Bild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475" y="27127200"/>
          <a:ext cx="10020300"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xdr:from>
      <xdr:col>2</xdr:col>
      <xdr:colOff>228600</xdr:colOff>
      <xdr:row>0</xdr:row>
      <xdr:rowOff>66675</xdr:rowOff>
    </xdr:from>
    <xdr:to>
      <xdr:col>2</xdr:col>
      <xdr:colOff>1190625</xdr:colOff>
      <xdr:row>3</xdr:row>
      <xdr:rowOff>47625</xdr:rowOff>
    </xdr:to>
    <xdr:pic>
      <xdr:nvPicPr>
        <xdr:cNvPr id="4" name="Bild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editAs="oneCell">
    <xdr:from>
      <xdr:col>0</xdr:col>
      <xdr:colOff>0</xdr:colOff>
      <xdr:row>153</xdr:row>
      <xdr:rowOff>142876</xdr:rowOff>
    </xdr:from>
    <xdr:to>
      <xdr:col>4</xdr:col>
      <xdr:colOff>1666875</xdr:colOff>
      <xdr:row>169</xdr:row>
      <xdr:rowOff>154022</xdr:rowOff>
    </xdr:to>
    <xdr:pic>
      <xdr:nvPicPr>
        <xdr:cNvPr id="5" name="Bild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968576"/>
          <a:ext cx="10347325" cy="2754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228600</xdr:colOff>
      <xdr:row>0</xdr:row>
      <xdr:rowOff>66675</xdr:rowOff>
    </xdr:from>
    <xdr:to>
      <xdr:col>2</xdr:col>
      <xdr:colOff>1190625</xdr:colOff>
      <xdr:row>3</xdr:row>
      <xdr:rowOff>47625</xdr:rowOff>
    </xdr:to>
    <xdr:pic>
      <xdr:nvPicPr>
        <xdr:cNvPr id="2" name="Bild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l="11871" t="24866" r="13503" b="23140"/>
        <a:stretch>
          <a:fillRect/>
        </a:stretch>
      </xdr:blipFill>
      <xdr:spPr bwMode="auto">
        <a:xfrm>
          <a:off x="5607050" y="66675"/>
          <a:ext cx="962025" cy="514350"/>
        </a:xfrm>
        <a:prstGeom prst="rect">
          <a:avLst/>
        </a:prstGeom>
        <a:noFill/>
        <a:ln w="9525">
          <a:noFill/>
          <a:miter lim="800000"/>
          <a:headEnd/>
          <a:tailEnd/>
        </a:ln>
      </xdr:spPr>
    </xdr:pic>
    <xdr:clientData/>
  </xdr:twoCellAnchor>
  <xdr:twoCellAnchor editAs="oneCell">
    <xdr:from>
      <xdr:col>0</xdr:col>
      <xdr:colOff>0</xdr:colOff>
      <xdr:row>152</xdr:row>
      <xdr:rowOff>0</xdr:rowOff>
    </xdr:from>
    <xdr:to>
      <xdr:col>5</xdr:col>
      <xdr:colOff>57150</xdr:colOff>
      <xdr:row>168</xdr:row>
      <xdr:rowOff>28575</xdr:rowOff>
    </xdr:to>
    <xdr:pic>
      <xdr:nvPicPr>
        <xdr:cNvPr id="3" name="Bild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654250"/>
          <a:ext cx="1049655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verdboligkreditt.no/Sparebanken%20Vest%20Boligkreditt/Investormilj&#248;,%20rating%20og%20risiko/Ratingbyr&#229;er/Rapportering/2012/Okt/Moodys%20Covered%20Bonds%20Sparebanken%20Vest%20Boligkreditt%2030%20Sept%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parebanken%20Vest%20Boligkreditt/Investormilj&#248;,%20rating%20og%20risiko/Ratingbyr&#229;er/Rapportering/2012/Okt/Moodys%20Covered%20Bonds%20Sparebanken%20Vest%20Boligkreditt%2030%20Sept%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verdboligkreditt.no/Verd%20Boligkreditt/Rating/Rating%20Verd/OMF-rating/Moodys%20Covered%20Bonds%20Input%20Template%20Verd%20Boligkreditt%20cut%2030%20Sep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erd%20Boligkreditt/Rating/Rating%20Verd/OMF-rating/Moodys%20Covered%20Bonds%20Input%20Template%20Verd%20Boligkreditt%20cut%2030%20Sept%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v687fil\flsomr\Verd%20Boligkreditt\&#216;konomi,%20rapportering%20og%20risiko\Risiko\Renterisiko\2012_12_04%20(Renterisiko%20Verd%20pr%2031.1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v687fil\flsomr\Verd%20Boligkreditt\&#216;konomi,%20rapportering%20og%20risiko\Risiko\Renterisiko\2012_10_08%20(Renterisiko%20Ve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row r="10">
          <cell r="B10">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B6" t="str">
            <v>EUR</v>
          </cell>
        </row>
        <row r="7">
          <cell r="B7" t="str">
            <v>USD</v>
          </cell>
        </row>
        <row r="8">
          <cell r="B8" t="str">
            <v>GBP</v>
          </cell>
        </row>
        <row r="9">
          <cell r="B9" t="str">
            <v>AUD</v>
          </cell>
        </row>
        <row r="10">
          <cell r="B10" t="str">
            <v>BGN (Bulgaria)</v>
          </cell>
        </row>
        <row r="11">
          <cell r="B11" t="str">
            <v>CAD (Canada)</v>
          </cell>
        </row>
        <row r="12">
          <cell r="B12" t="str">
            <v>CHF</v>
          </cell>
        </row>
        <row r="13">
          <cell r="B13" t="str">
            <v>CZK (Czech Rep.)</v>
          </cell>
        </row>
        <row r="14">
          <cell r="B14" t="str">
            <v>DKK (Denmark)</v>
          </cell>
        </row>
        <row r="15">
          <cell r="B15" t="str">
            <v>EEK (Estonia)</v>
          </cell>
        </row>
        <row r="16">
          <cell r="B16" t="str">
            <v>HRK (Croatia)</v>
          </cell>
        </row>
        <row r="17">
          <cell r="B17" t="str">
            <v>HUF (Hungary)</v>
          </cell>
        </row>
        <row r="18">
          <cell r="B18" t="str">
            <v>ISK (Iceland)</v>
          </cell>
        </row>
        <row r="19">
          <cell r="B19" t="str">
            <v>JPY</v>
          </cell>
        </row>
        <row r="20">
          <cell r="B20" t="str">
            <v>LTL (Lithuania)</v>
          </cell>
        </row>
        <row r="21">
          <cell r="B21" t="str">
            <v>LVL (Latvia)</v>
          </cell>
        </row>
        <row r="22">
          <cell r="B22" t="str">
            <v>NOK (Norway)</v>
          </cell>
        </row>
        <row r="23">
          <cell r="B23" t="str">
            <v>PLN (Poland)</v>
          </cell>
        </row>
        <row r="24">
          <cell r="B24" t="str">
            <v>RON (Romania)</v>
          </cell>
        </row>
        <row r="25">
          <cell r="B25" t="str">
            <v>RUB (Russia)</v>
          </cell>
        </row>
        <row r="26">
          <cell r="B26" t="str">
            <v>SEK (Sweden)</v>
          </cell>
        </row>
        <row r="27">
          <cell r="B27" t="str">
            <v>TRY (Turkey)</v>
          </cell>
        </row>
        <row r="28">
          <cell r="B28" t="str">
            <v>ZAR (South Africa)</v>
          </cell>
        </row>
        <row r="56">
          <cell r="F56" t="str">
            <v>Floating rate</v>
          </cell>
        </row>
        <row r="57">
          <cell r="F57" t="str">
            <v>Fixed rate</v>
          </cell>
        </row>
        <row r="67">
          <cell r="G67" t="str">
            <v>Monthly</v>
          </cell>
        </row>
        <row r="68">
          <cell r="G68" t="str">
            <v>Quarterly</v>
          </cell>
        </row>
        <row r="69">
          <cell r="G69" t="str">
            <v>Semi-Annually</v>
          </cell>
        </row>
        <row r="70">
          <cell r="G70" t="str">
            <v>Annually</v>
          </cell>
        </row>
        <row r="71">
          <cell r="G71" t="str">
            <v>Other</v>
          </cell>
        </row>
      </sheetData>
      <sheetData sheetId="16">
        <row r="6">
          <cell r="D6" t="str">
            <v>Confidentiality:
This data template file and all its contents, as well as any information contained therein (together the "Moody's Data Template File and Information"), is confidential to Moody's Investors Service ("Moody's"). No part of Moody's Data Template File and Information may be copied or otherwise reproduced, repackaged, further transmitted, transferred, disseminated, redistributed, or stored for any subsequent use for any such or other purpose, in whole or part, in any form or manner or by any means whatever, by any person without the express written consent of Moody's first being obtained.
If you have received Moody's Data Template File and Information in error, please immediately notify Moody's by telephone, fax or e-mail and delete it.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row r="10">
          <cell r="B10">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B6" t="str">
            <v>EUR</v>
          </cell>
        </row>
        <row r="7">
          <cell r="B7" t="str">
            <v>USD</v>
          </cell>
        </row>
        <row r="8">
          <cell r="B8" t="str">
            <v>GBP</v>
          </cell>
        </row>
        <row r="9">
          <cell r="B9" t="str">
            <v>AUD</v>
          </cell>
        </row>
        <row r="10">
          <cell r="B10" t="str">
            <v>BGN (Bulgaria)</v>
          </cell>
        </row>
        <row r="11">
          <cell r="B11" t="str">
            <v>CAD (Canada)</v>
          </cell>
        </row>
        <row r="12">
          <cell r="B12" t="str">
            <v>CHF</v>
          </cell>
        </row>
        <row r="13">
          <cell r="B13" t="str">
            <v>CZK (Czech Rep.)</v>
          </cell>
        </row>
        <row r="14">
          <cell r="B14" t="str">
            <v>DKK (Denmark)</v>
          </cell>
        </row>
        <row r="15">
          <cell r="B15" t="str">
            <v>EEK (Estonia)</v>
          </cell>
        </row>
        <row r="16">
          <cell r="B16" t="str">
            <v>HRK (Croatia)</v>
          </cell>
        </row>
        <row r="17">
          <cell r="B17" t="str">
            <v>HUF (Hungary)</v>
          </cell>
        </row>
        <row r="18">
          <cell r="B18" t="str">
            <v>ISK (Iceland)</v>
          </cell>
        </row>
        <row r="19">
          <cell r="B19" t="str">
            <v>JPY</v>
          </cell>
        </row>
        <row r="20">
          <cell r="B20" t="str">
            <v>LTL (Lithuania)</v>
          </cell>
        </row>
        <row r="21">
          <cell r="B21" t="str">
            <v>LVL (Latvia)</v>
          </cell>
        </row>
        <row r="22">
          <cell r="B22" t="str">
            <v>NOK (Norway)</v>
          </cell>
        </row>
        <row r="23">
          <cell r="B23" t="str">
            <v>PLN (Poland)</v>
          </cell>
        </row>
        <row r="24">
          <cell r="B24" t="str">
            <v>RON (Romania)</v>
          </cell>
        </row>
        <row r="25">
          <cell r="B25" t="str">
            <v>RUB (Russia)</v>
          </cell>
        </row>
        <row r="26">
          <cell r="B26" t="str">
            <v>SEK (Sweden)</v>
          </cell>
        </row>
        <row r="27">
          <cell r="B27" t="str">
            <v>TRY (Turkey)</v>
          </cell>
        </row>
        <row r="28">
          <cell r="B28" t="str">
            <v>ZAR (South Africa)</v>
          </cell>
        </row>
        <row r="56">
          <cell r="F56" t="str">
            <v>Floating rate</v>
          </cell>
        </row>
        <row r="57">
          <cell r="F57" t="str">
            <v>Fixed rate</v>
          </cell>
        </row>
        <row r="67">
          <cell r="G67" t="str">
            <v>Monthly</v>
          </cell>
        </row>
        <row r="68">
          <cell r="G68" t="str">
            <v>Quarterly</v>
          </cell>
        </row>
        <row r="69">
          <cell r="G69" t="str">
            <v>Semi-Annually</v>
          </cell>
        </row>
        <row r="70">
          <cell r="G70" t="str">
            <v>Annually</v>
          </cell>
        </row>
        <row r="71">
          <cell r="G71" t="str">
            <v>Other</v>
          </cell>
        </row>
      </sheetData>
      <sheetData sheetId="16">
        <row r="6">
          <cell r="D6" t="str">
            <v>Confidentiality:
This data template file and all its contents, as well as any information contained therein (together the "Moody's Data Template File and Information"), is confidential to Moody's Investors Service ("Moody's"). No part of Moody's Data Template File and Information may be copied or otherwise reproduced, repackaged, further transmitted, transferred, disseminated, redistributed, or stored for any subsequent use for any such or other purpose, in whole or part, in any form or manner or by any means whatever, by any person without the express written consent of Moody's first being obtained.
If you have received Moody's Data Template File and Information in error, please immediately notify Moody's by telephone, fax or e-mail and delete it.</v>
          </cell>
          <cell r="E6" t="str">
            <v>Vertraulichkeit
Diese Datenvorlage, ihr Inhalt und alle in ihr enthaltenen Informationen (zusammen: „Moody’s-Datenvorlage und Informationen“) sind vertrauliches Eigentum von Moody’s Investors Service („Moody’s“). Die Moody’s-Datenvorlage und die Informationen dürfen ohne ausdrückliche, vorherige und schriftliche Zustimmung von Moody’s weder ganz noch in Teilen kopiert oder in sonstiger Weise reproduziert, umgewandelt, weitergegeben, übertragen, bekannt gegeben, verteilt oder zur weiteren Verwendung gespeichert werden, gleichgültig, zu welchem Zweck, in welcher Art und Weise oder mit welchen Hilfsmitteln.
Wenn Sie die Moody’s-Datenvorlage und die Informationen irrtümlich erhalten haben, setzen Sie Moody’s unverzüglich telefonisch, per Fax oder per E-Mail davon in Kenntnis und löschen Sie die Datei.</v>
          </cell>
          <cell r="F6" t="str">
            <v>Confidencialidad: 
Este soporte electrónico y sus contenidos, así como la información incluida en él ("Fichero e Información de Moody's") es propiedad e información confidencial de Moody's Investors Service ("Moody's"). No esta permitida la copia, reproducción, o almacenaje en cualquier soporte, así como la transmisión o distribución  parcial o total de el "Fichero e Información de Moody's" indistintamente de su propósito sin el previo consentimiento escrito de Moody's. Si Vd. ha recibido el "Fichero e Información de Moody's" por error, por favor notifíquelo inmediatamente a Moody's por teléfono, fax o e-mail y proceda a su destrucción.</v>
          </cell>
          <cell r="H6"/>
          <cell r="I6"/>
          <cell r="J6"/>
          <cell r="K6"/>
        </row>
        <row r="7">
          <cell r="D7" t="str">
            <v>Name of Issuer:</v>
          </cell>
          <cell r="E7" t="str">
            <v>Name des Emittenten:</v>
          </cell>
          <cell r="F7" t="str">
            <v>Nombre del Emisor:</v>
          </cell>
          <cell r="J7"/>
          <cell r="K7"/>
        </row>
        <row r="8">
          <cell r="D8" t="str">
            <v>REPORT DATE:</v>
          </cell>
          <cell r="E8" t="str">
            <v>BERICHTSDATUM:</v>
          </cell>
          <cell r="F8" t="str">
            <v>FECHA DEL INFORME:</v>
          </cell>
          <cell r="J8"/>
          <cell r="K8"/>
        </row>
        <row r="9">
          <cell r="D9" t="str">
            <v xml:space="preserve">FREQUENCY OF REPORTING </v>
          </cell>
          <cell r="E9" t="str">
            <v>BERICHTSTURNUS:</v>
          </cell>
          <cell r="F9" t="str">
            <v>FRECUENCIA DEL INFORME</v>
          </cell>
          <cell r="J9"/>
          <cell r="K9"/>
        </row>
        <row r="10">
          <cell r="D10" t="str">
            <v>This should be quarterly for Issuers rated Prime-1 and above, and monthly for all other Issuers.</v>
          </cell>
          <cell r="E10" t="str">
            <v>Emittenten mit einem Prime-1 Rating (oder besser) sollten vierteljährlich berichten, alle anderen Emittenten bitte monatlich berichten.</v>
          </cell>
          <cell r="F10" t="str">
            <v>Deberá ser trimestral para emisores con un rating a corto plazo de al menos P-1, y mensual para el resto</v>
          </cell>
          <cell r="J10"/>
          <cell r="K10"/>
        </row>
        <row r="11">
          <cell r="D11"/>
          <cell r="E11"/>
          <cell r="F11"/>
          <cell r="J11"/>
          <cell r="K11"/>
        </row>
        <row r="12">
          <cell r="D12" t="str">
            <v>Version of the Template</v>
          </cell>
          <cell r="E12" t="str">
            <v>Version der Vorlage:</v>
          </cell>
          <cell r="F12" t="str">
            <v xml:space="preserve">Versión del Fichero </v>
          </cell>
          <cell r="J12"/>
          <cell r="K12"/>
        </row>
        <row r="13">
          <cell r="D13"/>
          <cell r="J13"/>
          <cell r="K13"/>
        </row>
        <row r="14">
          <cell r="D14" t="str">
            <v>Introduction:</v>
          </cell>
          <cell r="E14" t="str">
            <v>Einleitung:</v>
          </cell>
          <cell r="F14" t="str">
            <v>Introducción</v>
          </cell>
          <cell r="J14"/>
          <cell r="K14"/>
        </row>
        <row r="15">
          <cell r="D15" t="str">
            <v>-This data template should not be regarded as a requirement-list. The template is a set of guidelines to assist with the data input for your Covered Bond issuance and/or programme.</v>
          </cell>
          <cell r="E15" t="str">
            <v>-Diese Vorlage ist nicht als vollständige Auflistung aller erforderlichen Daten zu verstehen. Sie dient lediglich als Richtlinie, die Sie bei der Eingabe der Daten für die Begebung Ihrer Pfandbriefe bzw. Ihres Programms für Gedeckte Schuldverschreibungen unterstützen soll.</v>
          </cell>
          <cell r="F15" t="str">
            <v>- No se debe considerar este fichero como una lista obligatoria de todos los datos requeridos. Este fichero sirve como guía maestra para asistir en el análisis de su emisión o programa de Cédulas.</v>
          </cell>
          <cell r="J15"/>
          <cell r="K15"/>
        </row>
        <row r="16">
          <cell r="D16" t="str">
            <v>- This template will not be regarded as stand-alone and Moody’s expects to conduct an operational review to further understand the data and the Assets in the cover pool.</v>
          </cell>
          <cell r="E16" t="str">
            <v>- Diese Vorlage allein ist nicht ausreichend; Moody's führt weitere Analysen und ein sog. "Operational Review" durch, um ein weitreichendes Verständnis des Pfandbriefprogramms zu gewährleisten.</v>
          </cell>
          <cell r="F16" t="str">
            <v>- La introducción de los datos en el fichero no se debe considerar como el único requisito de de información de Moody's. Moody's espera llevar a cabo una revisión operacional del emisor que profundice en la comprensión de la información y activos de la cartera subyacente</v>
          </cell>
          <cell r="J16"/>
          <cell r="K16"/>
        </row>
        <row r="17">
          <cell r="D17"/>
          <cell r="E17" t="str">
            <v xml:space="preserve"> </v>
          </cell>
          <cell r="F17"/>
          <cell r="J17"/>
          <cell r="K17"/>
        </row>
        <row r="18">
          <cell r="D18" t="str">
            <v>-For residential and commercial assets, the data for assets located in different countries should be entered onto different worksheets. Further, if loans in more than one currency are made on assets located in a single country, information should be entered separately onto different pages (for that purpose, please create copies of the relevant worksheet). However, where information is provided on a loan by loan (or property by property) basis all data should be entered onto a single worksheet (regardless of whether the assets are located in more than one country). If commercial or residential assets are located in more than 5 countries contact Moody's. See also MULTI-COUNTRY ASSETS.</v>
          </cell>
          <cell r="E18" t="str">
            <v>- Informationen für WOHNIMMOBILIEN-KREDITE oder GEWERBLICHE IMMOBILIENKREDITE, die in verschiedenen Ländern generiert wurden, bitte in separaten Tabellenblättern eingeben. (Falls Daten nicht auf Einzelkreditbasis angegeben werden). 
Wenn Kredite in verschiedenen Währungen für eine Immobilie in einem Land gewährt wurden, sollte für jedes Land ein separates Tabellenblatt genutzt werden (falls die Information nicht auf Einzelkreditbasis bereitgestellt wird). 
Im Falle von mehr als 5 Ländern kontaktieren Sie Moody's. 
Informationen auf Einzelkreditbasis werden benötigt, wenn GEWERBLICHE IMMOBILIENKREDITE mehr als 35% der DECKUNGSMASSE stellen. Vgl. auch VERMÖGENSWERTE IN MEHREREN LÄNDERN.</v>
          </cell>
          <cell r="F18" t="str">
            <v xml:space="preserve"> - Los activos hipotecarios residenciales y comerciales deben ser completados en hojas de Excel distintas dependiendo del país en que se encuentren. Si la información se proporciona préstamo a préstamo (o inmueble a inmueble) toda la información de la cartera se debe dar en la misma hoja de excel. Les rogamos que se pongan en contacto con Moody's si las carteras bien comercial, bien residencial se encuentran en más de 5 países. Ver ACTIVOS MULTIJURISDICCIONALES.
Para proporcionar datos sobre la cartera elegible, por favor crear también una hoja distinta.</v>
          </cell>
          <cell r="J18"/>
          <cell r="K18"/>
        </row>
        <row r="19">
          <cell r="D19"/>
          <cell r="E19"/>
          <cell r="F19"/>
          <cell r="J19"/>
          <cell r="K19"/>
        </row>
        <row r="20">
          <cell r="D20" t="str">
            <v>Step-by-step instructions for completion of data template:</v>
          </cell>
          <cell r="E20" t="str">
            <v>Anleitung für das Ausfüllen der Vorlage:</v>
          </cell>
          <cell r="F20" t="str">
            <v>Instrucciones para completar el fichero:</v>
          </cell>
          <cell r="J20"/>
          <cell r="K20"/>
        </row>
        <row r="21">
          <cell r="D21" t="str">
            <v>- All data should be as at the REPORT DATE unless otherwise specified.</v>
          </cell>
          <cell r="E21" t="str">
            <v>- Alle Daten sollten dem Stand zum BERICHTSDATUM entsprechen, soweit nicht etwas anderes vorgesehen ist.</v>
          </cell>
          <cell r="F21" t="str">
            <v xml:space="preserve"> - Todos los datos se deben referir a la misma FECHA DEL INFORME salvo que se especifique lo contrario.</v>
          </cell>
          <cell r="J21"/>
          <cell r="K21"/>
        </row>
        <row r="22">
          <cell r="D22" t="str">
            <v>- All data should be converted into the currency of the Issuer (or other currency as agreed with Moody's) unless otherwise specified. See CURRENCY CONVERSION in Definitions page for more information.</v>
          </cell>
          <cell r="E22" t="str">
            <v>- Alle Daten bitte in die Währung des Emittenten (oder einer anderen, mit Moody's vereinbarten Währung) umrechnen, soweit nicht anders angegeben. Vgl. WÄHRUNGSUMRECHUNG.</v>
          </cell>
          <cell r="F22" t="str">
            <v xml:space="preserve"> -Todos los datos se deben convertir a la divisa del emisor (o en otra divisa acordada con Moody's) salvo se especifique lo contrario. er CONVERSIÓN DE DIVISAS en la hoja de "Definitions" para mayor información.</v>
          </cell>
          <cell r="J22"/>
          <cell r="K22"/>
        </row>
        <row r="23">
          <cell r="D23" t="str">
            <v>- Complete all yellow highlighted fields at the top of Front page.</v>
          </cell>
          <cell r="E23" t="str">
            <v>- Bitte alle hellgelb unterlegten Felder im Tabellenblatt "Front Page" ausfüllen.</v>
          </cell>
          <cell r="F23" t="str">
            <v>- Completar las celdas en amarillo en la parte superior de la hoja "Front Page".</v>
          </cell>
          <cell r="J23"/>
          <cell r="K23"/>
        </row>
        <row r="24">
          <cell r="D24" t="str">
            <v>- Press “Initiate Input of Data” button.</v>
          </cell>
          <cell r="E24" t="str">
            <v>- Klicken Sie auf "Initiate Input of Data".</v>
          </cell>
          <cell r="F24" t="str">
            <v>- Presionar el botón "Initiate Input of Data"</v>
          </cell>
          <cell r="J24"/>
          <cell r="K24"/>
        </row>
        <row r="25">
          <cell r="D25" t="str">
            <v>- Mark all relevant fields in the “Initiate Input” form.</v>
          </cell>
          <cell r="E25" t="str">
            <v>- Kreuzen Sie die für Ihr Programm zutreffenden Felder im Formular "Initiate Input" an.</v>
          </cell>
          <cell r="F25" t="str">
            <v>- Marcar todos los campos relevantes en el menú "Initiate Input".</v>
          </cell>
          <cell r="J25"/>
          <cell r="K25"/>
        </row>
        <row r="26">
          <cell r="D26" t="str">
            <v>- For public sector assets mark this field if these assets are present.</v>
          </cell>
          <cell r="E26" t="str">
            <v xml:space="preserve">- Sind Kredite an den Öffentlichen Sektor in der DECKUNGSMASSE, kreuzen Sie bitte das Kontrollkästchen „Public-Sector“ an.  </v>
          </cell>
          <cell r="F26" t="str">
            <v>- Para la cartera pública marcar este campo en caso de que este activo esté presente (en el caso español, para Cédulas Territoriales).</v>
          </cell>
          <cell r="J26"/>
          <cell r="K26"/>
        </row>
        <row r="27">
          <cell r="D27" t="str">
            <v>- After identification of and marking the fields relevant to your issuance and/or programme, press “Initiate” button on the “Initiate Input” form.</v>
          </cell>
          <cell r="E27" t="str">
            <v>- Wenn Sie im "Initiate Input"-Formular alle Felder angekreuzt haben, die für Ihre Emission bzw. Ihr Programm von Bedeutung sind, klicken Sie im Formular auf "Start".</v>
          </cell>
          <cell r="F27" t="str">
            <v xml:space="preserve"> - Tras identificar y seleccionar los campos relevantes para su emisión y/o programa, presionar el botón "Initiate" en el menú "Initiate Input"</v>
          </cell>
          <cell r="J27"/>
          <cell r="K27"/>
        </row>
        <row r="28">
          <cell r="D28" t="str">
            <v>- You should now have an Excel file with several pages, each page relating to those fields which have been identified and marked in the “Initiate Input” form.</v>
          </cell>
          <cell r="E28" t="str">
            <v>- Ihnen liegt jetzt eine Excel-Datei mit mehreren Tabellenblättern vor, die jeweils den Bereichen entsprechen, die Sie im „Initiate-Input“-Formular angekreuzt haben.</v>
          </cell>
          <cell r="F28" t="str">
            <v xml:space="preserve"> - Ahora aparecerán en el Fichero de Excel diversas páginas, cada una relacionada con aquellos campos que marcó en el menú "Initiate Input".</v>
          </cell>
          <cell r="J28"/>
          <cell r="K28"/>
        </row>
        <row r="29">
          <cell r="D29" t="str">
            <v>- You may navigate through any of the several pages. On each page you will find instructions for completing that part of the template, and on certain pages (residential, commercial, public sector and substitute collateral) also an “Overview Data” table for the ASSET TYPE. On each of the residential and commercial pages there is additionally a “Detail Data Menu” button, which may help you navigate through the data tables on each page.</v>
          </cell>
          <cell r="E29" t="str">
            <v xml:space="preserve">- Auf den Tabellenblättern für Wohnimmobilien und gewerblich genutzte Immobilien befindet sich die Schaltfläche "Detail Data Menu", die Ihnen helfen wird, das jeweilige Tabellenblatt Ihren Anforderungen entsprechend einzurichten. </v>
          </cell>
          <cell r="F29" t="str">
            <v>- Puede moverse libremente entre las hojas generadas. En cada hoja encontrará las instrucciones necesarias para completar la información solicitada, y en ciertas hojas (residential, commercial, public sector y substitute collateral) también una tabla a rellenar con "Resumen de Información". En las hojas de la cartera hipotecaria residencial y comercial encontrará un botón adicional "Detail Data Menu", que le ayudará a moverse dentro de la hoja en que se encuentre.</v>
          </cell>
          <cell r="J29"/>
          <cell r="K29"/>
        </row>
        <row r="30">
          <cell r="D30" t="str">
            <v>- When input is taking place using the “Mass Data Input” option on the Front Page, all data tables from all pages will be displayed, and "Detail Data Menu" should be ignored.</v>
          </cell>
          <cell r="E30" t="str">
            <v>- Durch einen Klick auf die Schaltfläche „Mass Data Input“ auf der Titelseite werden sämtliche Eingabe-Tabellen auf allen Tabellenblättern angezeigt.</v>
          </cell>
          <cell r="F30" t="str">
            <v>- Si la introducción de datos se realiza utilizando la opción de "Mass Data Input", todos las tablas de todas las hojas se mostrarán, pudiéndose ignorar la opción "Detail Data Menu".</v>
          </cell>
          <cell r="J30"/>
          <cell r="K30"/>
        </row>
        <row r="31">
          <cell r="D31" t="str">
            <v>Further steps:</v>
          </cell>
          <cell r="E31" t="str">
            <v>Weitere Hinweise:</v>
          </cell>
          <cell r="F31" t="str">
            <v>Otros pasos a seguir:</v>
          </cell>
          <cell r="J31"/>
          <cell r="K31"/>
        </row>
        <row r="32">
          <cell r="D32" t="str">
            <v>- For further detailed instructions as well as definitions for various parts of the Excel file, see the Definitions page which next follows this page.</v>
          </cell>
          <cell r="E32" t="str">
            <v xml:space="preserve"> </v>
          </cell>
          <cell r="F32" t="str">
            <v>- Si requiere de instrucciones más detalladas, así como las definiciones de diversos términos en las distintas partes del fichero Excel, vea la hoja "Definitions" que sigue a esta hoja.</v>
          </cell>
          <cell r="J32"/>
          <cell r="K32"/>
        </row>
        <row r="33">
          <cell r="D33" t="str">
            <v>- Most defined expressions in the Excel file are in capitals. The Definitions for these (and other common terms which are not in capitals but also defined) are found on the Definitions page.</v>
          </cell>
          <cell r="E33" t="str">
            <v>- Begriffe in GROSSBUCHSTABEN sind im Tabellenblatt "Definitions" näher erläutert.</v>
          </cell>
          <cell r="F33" t="str">
            <v>- La mayoría de los términos en el fichero Excel se encuentran en mayúsculas. Sus definiciones (así como otros términos que no se encuentran en mayúsculas pero que se definen) se encuentran en la hoja "Definitions".</v>
          </cell>
          <cell r="J33"/>
          <cell r="K33"/>
        </row>
        <row r="34">
          <cell r="D34" t="str">
            <v>- For residential assets mark the relevant field based on both type of asset and number of countries in which the assets are located. For example, if residential assets are located in 2 different countries,  mark the box next to Residential Mortgages located in 2 countries. Two residential worksheets will then be generated.</v>
          </cell>
          <cell r="E34" t="str">
            <v xml:space="preserve"> Für WOHNIMMOBILIEN-KREDITE markieren Sie bitte je nach Anzahl zu berücksichtigender Währungen/ Länder das entsprechene Feld. Wenn z.B. Wohnimmobilien-Kredite in zwei verschieden Ländern ausgereicht wurden, kreuzen Sie das Kontrollkästchen '3.1.2. Wohnimmobilien-Kredite in 2 Ländern /  ausgereicht in 2 Währungen' an. Es werden dann zwei separate Tabellenblätter erzeugt.</v>
          </cell>
          <cell r="F34" t="str">
            <v>- Para activos hipotecarios residenciales marcar el campo adecuado dependiendo del tipo de activo y del número de países donde se encuentra el activo. Por ejemplo, si los activos residenciales han sido originados en dos países distintos, seleccionar la opción "Cartera residencial en dos países". Posteriormente, se generarán dos hojas de excel para datos residenciales.</v>
          </cell>
          <cell r="J34"/>
          <cell r="K34"/>
        </row>
        <row r="35">
          <cell r="D35" t="str">
            <v>- For commercial assets mark the relevant field. This is as per residential assets where commercial assets make up less than 35% of the value of the Cover Pool. However, mark the field next to Commercial LbyL where more than 35% of the value of the Cover Pool is made up of commercial assets.</v>
          </cell>
          <cell r="E35" t="str">
            <v>- Für GEWERBLICHE IMMOBILIENKREDITE das entsprechende Feld auswählen. Falls GEWERBLICHE IMMOBILIENKREDITE mehr als 35% der DECKUNGSMASSE ausmachen, bitte Daten auf Einzelkreditbasis bereitstellen.</v>
          </cell>
          <cell r="F35" t="str">
            <v>-  Para activos hipotecarios comerciales marcar el campo adecuado. el procedimiento es análogo al efectuado con activos residenciales, siempre y cuando el porcentaje de activos comerciales no supere el 35% del total de la cartera hipotecaria. En caso contrario marcar el campo correspondiente a "Comercial préstamo a préstamo".</v>
          </cell>
          <cell r="J35"/>
          <cell r="K35"/>
        </row>
        <row r="36">
          <cell r="D36" t="str">
            <v>- This Input Template does not cover all possibilities. Where there is doubt that the template allows a particular risk to be accurately captured, discuss with Moody's.</v>
          </cell>
          <cell r="E36" t="str">
            <v xml:space="preserve">- Diese Vorlage kann nicht alle Möglichkeiten abdecken. Bitte kontaktieren Sie Moody's, wenn Zweifel bestehen, dass bestimmte Risiken in dieser Vorlage nicht korrekt erfasst werden. </v>
          </cell>
          <cell r="F36" t="str">
            <v>- Este Fichero no pretende cubrir todas las posibilidades. En caso de que se dude sobre la adecuación del presente fichero a la hora de reflejar un riesgo paryicular, se ruega que se pongan en contacto con Moody's.</v>
          </cell>
          <cell r="J36"/>
          <cell r="K36"/>
        </row>
        <row r="37">
          <cell r="D37" t="str">
            <v>- Please conform with all formatting instructions (and embedded in-cell formatting, e.g in % or in bps).</v>
          </cell>
          <cell r="E37" t="str">
            <v>- Bitte beachten Sie das gewünschte Datenformat (z.B. in % oder in Monaten) und behalten Sie die voreingestellte Formatierung der Zellen bei.</v>
          </cell>
          <cell r="F37" t="str">
            <v>- Por favor utilice los formatos como es  especificado en las instrucciones ó en las celdas (por ejemplo si la información se pide en % o en bps).</v>
          </cell>
          <cell r="K37"/>
        </row>
        <row r="38">
          <cell r="D38"/>
          <cell r="E38"/>
          <cell r="K38"/>
        </row>
        <row r="39">
          <cell r="D39"/>
          <cell r="E39"/>
          <cell r="F39"/>
          <cell r="H39"/>
          <cell r="I39"/>
          <cell r="J39"/>
          <cell r="K39"/>
        </row>
        <row r="40">
          <cell r="D40" t="str">
            <v>Definition Page</v>
          </cell>
          <cell r="E40"/>
          <cell r="F40" t="str">
            <v>Página de Definición</v>
          </cell>
          <cell r="K40"/>
        </row>
        <row r="41">
          <cell r="D41"/>
          <cell r="K41"/>
        </row>
        <row r="42">
          <cell r="D42"/>
          <cell r="J42"/>
          <cell r="K42"/>
        </row>
        <row r="43">
          <cell r="D43"/>
          <cell r="J43"/>
          <cell r="K43"/>
        </row>
        <row r="44">
          <cell r="D44"/>
          <cell r="J44"/>
          <cell r="K44"/>
        </row>
        <row r="45">
          <cell r="D45"/>
          <cell r="J45"/>
          <cell r="K45"/>
        </row>
        <row r="46">
          <cell r="D46"/>
          <cell r="J46"/>
          <cell r="K46"/>
        </row>
        <row r="47">
          <cell r="D47"/>
          <cell r="J47"/>
          <cell r="K47"/>
        </row>
        <row r="48">
          <cell r="D48"/>
          <cell r="J48"/>
          <cell r="K48"/>
        </row>
        <row r="49">
          <cell r="D49"/>
          <cell r="J49"/>
          <cell r="K49"/>
        </row>
        <row r="50">
          <cell r="D50"/>
          <cell r="J50"/>
          <cell r="K50"/>
        </row>
        <row r="51">
          <cell r="D51"/>
          <cell r="J51"/>
          <cell r="K51"/>
        </row>
        <row r="52">
          <cell r="D52"/>
          <cell r="J52"/>
          <cell r="K52"/>
        </row>
        <row r="53">
          <cell r="D53"/>
          <cell r="J53"/>
          <cell r="K53"/>
        </row>
        <row r="54">
          <cell r="D54"/>
          <cell r="J54"/>
          <cell r="K54"/>
        </row>
        <row r="55">
          <cell r="D55"/>
          <cell r="J55"/>
          <cell r="K55"/>
        </row>
        <row r="56">
          <cell r="D56"/>
          <cell r="J56"/>
          <cell r="K56"/>
        </row>
        <row r="57">
          <cell r="D57"/>
          <cell r="J57"/>
          <cell r="K57"/>
        </row>
        <row r="58">
          <cell r="D58"/>
          <cell r="J58"/>
          <cell r="K58"/>
        </row>
        <row r="59">
          <cell r="D59"/>
          <cell r="J59"/>
          <cell r="K59"/>
        </row>
        <row r="60">
          <cell r="D60"/>
          <cell r="J60"/>
          <cell r="K60"/>
        </row>
        <row r="61">
          <cell r="D61"/>
          <cell r="J61"/>
          <cell r="K61"/>
        </row>
        <row r="62">
          <cell r="D62"/>
          <cell r="J62"/>
          <cell r="K62"/>
        </row>
        <row r="63">
          <cell r="D63"/>
          <cell r="J63"/>
          <cell r="K63"/>
        </row>
        <row r="64">
          <cell r="D64"/>
          <cell r="J64"/>
          <cell r="K64"/>
        </row>
        <row r="65">
          <cell r="D65"/>
          <cell r="J65"/>
          <cell r="K65"/>
        </row>
        <row r="66">
          <cell r="D66"/>
          <cell r="K66"/>
        </row>
        <row r="67">
          <cell r="D67"/>
          <cell r="K67"/>
        </row>
        <row r="68">
          <cell r="D68"/>
          <cell r="K68"/>
        </row>
        <row r="69">
          <cell r="D69"/>
          <cell r="J69"/>
          <cell r="K69"/>
        </row>
        <row r="70">
          <cell r="D70"/>
          <cell r="J70"/>
          <cell r="K70"/>
        </row>
        <row r="71">
          <cell r="D71"/>
          <cell r="J71"/>
          <cell r="K71"/>
        </row>
        <row r="72">
          <cell r="D72"/>
          <cell r="J72"/>
          <cell r="K72"/>
        </row>
        <row r="73">
          <cell r="D73"/>
          <cell r="J73"/>
          <cell r="K73"/>
        </row>
        <row r="74">
          <cell r="D74"/>
          <cell r="J74"/>
          <cell r="K74"/>
        </row>
        <row r="75">
          <cell r="D75"/>
          <cell r="J75"/>
          <cell r="K75"/>
        </row>
        <row r="76">
          <cell r="D76"/>
          <cell r="J76"/>
          <cell r="K76"/>
        </row>
        <row r="77">
          <cell r="D77"/>
          <cell r="J77"/>
          <cell r="K77"/>
        </row>
        <row r="78">
          <cell r="D78"/>
          <cell r="J78"/>
          <cell r="K78"/>
        </row>
        <row r="79">
          <cell r="D79"/>
          <cell r="J79"/>
          <cell r="K79"/>
        </row>
        <row r="80">
          <cell r="D80"/>
          <cell r="J80"/>
          <cell r="K80"/>
        </row>
        <row r="81">
          <cell r="D81"/>
          <cell r="J81"/>
          <cell r="K81"/>
        </row>
        <row r="82">
          <cell r="D82"/>
          <cell r="J82"/>
          <cell r="K82"/>
        </row>
        <row r="83">
          <cell r="D83"/>
          <cell r="J83"/>
          <cell r="K83"/>
        </row>
        <row r="84">
          <cell r="D84"/>
          <cell r="J84"/>
          <cell r="K84"/>
        </row>
        <row r="85">
          <cell r="D85"/>
          <cell r="J85"/>
          <cell r="K85"/>
        </row>
        <row r="86">
          <cell r="D86"/>
          <cell r="J86"/>
          <cell r="K86"/>
        </row>
        <row r="87">
          <cell r="D87"/>
          <cell r="J87"/>
          <cell r="K87"/>
        </row>
        <row r="88">
          <cell r="D88"/>
          <cell r="J88"/>
          <cell r="K88"/>
        </row>
        <row r="89">
          <cell r="D89"/>
          <cell r="J89"/>
          <cell r="K89"/>
        </row>
        <row r="90">
          <cell r="D90"/>
          <cell r="J90"/>
          <cell r="K90"/>
        </row>
        <row r="91">
          <cell r="D91"/>
          <cell r="J91"/>
          <cell r="K91"/>
        </row>
        <row r="92">
          <cell r="D92"/>
          <cell r="J92"/>
          <cell r="K92"/>
        </row>
        <row r="93">
          <cell r="D93"/>
          <cell r="J93"/>
          <cell r="K93"/>
        </row>
        <row r="94">
          <cell r="D94"/>
          <cell r="J94"/>
          <cell r="K94"/>
        </row>
        <row r="95">
          <cell r="D95"/>
          <cell r="J95"/>
          <cell r="K95"/>
        </row>
        <row r="96">
          <cell r="D96"/>
          <cell r="J96"/>
          <cell r="K96"/>
        </row>
        <row r="97">
          <cell r="D97"/>
          <cell r="J97"/>
          <cell r="K97"/>
        </row>
        <row r="98">
          <cell r="D98"/>
          <cell r="J98"/>
          <cell r="K98"/>
        </row>
        <row r="99">
          <cell r="D99"/>
          <cell r="J99"/>
          <cell r="K99"/>
        </row>
        <row r="100">
          <cell r="D100"/>
          <cell r="J100"/>
          <cell r="K100"/>
        </row>
        <row r="101">
          <cell r="D101"/>
          <cell r="J101"/>
          <cell r="K101"/>
        </row>
        <row r="102">
          <cell r="D102"/>
          <cell r="J102"/>
          <cell r="K102"/>
        </row>
        <row r="103">
          <cell r="D103"/>
          <cell r="J103"/>
          <cell r="K103"/>
        </row>
        <row r="104">
          <cell r="D104"/>
          <cell r="J104"/>
          <cell r="K104"/>
        </row>
        <row r="105">
          <cell r="D105"/>
          <cell r="J105"/>
          <cell r="K105"/>
        </row>
        <row r="106">
          <cell r="D106"/>
          <cell r="J106"/>
          <cell r="K106"/>
        </row>
        <row r="107">
          <cell r="D107"/>
          <cell r="J107"/>
          <cell r="K107"/>
        </row>
        <row r="108">
          <cell r="D108"/>
          <cell r="J108"/>
          <cell r="K108"/>
        </row>
        <row r="109">
          <cell r="D109"/>
          <cell r="J109"/>
          <cell r="K109"/>
        </row>
        <row r="110">
          <cell r="D110"/>
          <cell r="J110"/>
          <cell r="K110"/>
        </row>
        <row r="111">
          <cell r="D111"/>
          <cell r="J111"/>
          <cell r="K111"/>
        </row>
        <row r="112">
          <cell r="D112"/>
          <cell r="J112"/>
          <cell r="K112"/>
        </row>
        <row r="113">
          <cell r="D113"/>
          <cell r="J113"/>
          <cell r="K113"/>
        </row>
        <row r="114">
          <cell r="D114"/>
          <cell r="J114"/>
          <cell r="K114"/>
        </row>
        <row r="115">
          <cell r="D115"/>
          <cell r="J115"/>
          <cell r="K115"/>
        </row>
        <row r="116">
          <cell r="D116"/>
          <cell r="J116"/>
          <cell r="K116"/>
        </row>
        <row r="117">
          <cell r="D117"/>
          <cell r="J117"/>
          <cell r="K117"/>
        </row>
        <row r="118">
          <cell r="D118"/>
          <cell r="J118"/>
          <cell r="K118"/>
        </row>
        <row r="119">
          <cell r="D119"/>
          <cell r="J119"/>
          <cell r="K119"/>
        </row>
        <row r="120">
          <cell r="D120"/>
          <cell r="J120"/>
          <cell r="K120"/>
        </row>
        <row r="121">
          <cell r="D121"/>
          <cell r="J121"/>
          <cell r="K121"/>
        </row>
        <row r="122">
          <cell r="D122"/>
          <cell r="J122"/>
          <cell r="K122"/>
        </row>
        <row r="123">
          <cell r="D123"/>
          <cell r="J123"/>
          <cell r="K123"/>
        </row>
        <row r="124">
          <cell r="D124"/>
          <cell r="J124"/>
          <cell r="K124"/>
        </row>
        <row r="125">
          <cell r="D125"/>
          <cell r="J125"/>
          <cell r="K125"/>
        </row>
        <row r="126">
          <cell r="D126"/>
          <cell r="J126"/>
          <cell r="K126"/>
        </row>
        <row r="127">
          <cell r="D127"/>
          <cell r="J127"/>
          <cell r="K127"/>
        </row>
        <row r="128">
          <cell r="D128"/>
          <cell r="J128"/>
          <cell r="K128"/>
        </row>
        <row r="129">
          <cell r="D129"/>
          <cell r="J129"/>
          <cell r="K129"/>
        </row>
        <row r="130">
          <cell r="D130"/>
          <cell r="J130"/>
          <cell r="K130"/>
        </row>
        <row r="131">
          <cell r="D131"/>
          <cell r="J131"/>
          <cell r="K131"/>
        </row>
        <row r="132">
          <cell r="D132"/>
          <cell r="J132"/>
          <cell r="K132"/>
        </row>
        <row r="133">
          <cell r="D133"/>
          <cell r="J133"/>
          <cell r="K133"/>
        </row>
        <row r="134">
          <cell r="D134"/>
          <cell r="J134"/>
          <cell r="K134"/>
        </row>
        <row r="135">
          <cell r="D135"/>
          <cell r="J135"/>
          <cell r="K135"/>
        </row>
        <row r="136">
          <cell r="D136"/>
          <cell r="J136"/>
          <cell r="K136"/>
        </row>
        <row r="137">
          <cell r="D137"/>
          <cell r="J137"/>
          <cell r="K137"/>
        </row>
        <row r="138">
          <cell r="D138"/>
          <cell r="J138"/>
          <cell r="K138"/>
        </row>
        <row r="139">
          <cell r="D139"/>
          <cell r="J139"/>
          <cell r="K139"/>
        </row>
        <row r="140">
          <cell r="D140"/>
          <cell r="J140"/>
          <cell r="K140"/>
        </row>
        <row r="141">
          <cell r="D141"/>
          <cell r="J141"/>
          <cell r="K141"/>
        </row>
        <row r="142">
          <cell r="D142"/>
          <cell r="J142"/>
          <cell r="K142"/>
        </row>
        <row r="143">
          <cell r="D143"/>
          <cell r="J143"/>
          <cell r="K143"/>
        </row>
        <row r="144">
          <cell r="D144"/>
          <cell r="J144"/>
          <cell r="K144"/>
        </row>
        <row r="145">
          <cell r="D145"/>
          <cell r="J145"/>
          <cell r="K145"/>
        </row>
        <row r="146">
          <cell r="D146"/>
          <cell r="J146"/>
          <cell r="K146"/>
        </row>
        <row r="147">
          <cell r="D147"/>
          <cell r="J147"/>
          <cell r="K147"/>
        </row>
        <row r="148">
          <cell r="D148"/>
          <cell r="J148"/>
          <cell r="K148"/>
        </row>
        <row r="149">
          <cell r="D149"/>
          <cell r="J149"/>
          <cell r="K149"/>
        </row>
        <row r="150">
          <cell r="D150"/>
          <cell r="J150"/>
          <cell r="K150"/>
        </row>
        <row r="151">
          <cell r="D151"/>
          <cell r="J151"/>
          <cell r="K151"/>
        </row>
        <row r="152">
          <cell r="D152"/>
          <cell r="J152"/>
          <cell r="K152"/>
        </row>
        <row r="153">
          <cell r="D153"/>
          <cell r="J153"/>
          <cell r="K153"/>
        </row>
        <row r="154">
          <cell r="D154"/>
          <cell r="J154"/>
          <cell r="K154"/>
        </row>
        <row r="155">
          <cell r="D155"/>
          <cell r="J155"/>
          <cell r="K155"/>
        </row>
        <row r="156">
          <cell r="D156"/>
          <cell r="J156"/>
          <cell r="K156"/>
        </row>
        <row r="157">
          <cell r="D157"/>
          <cell r="J157"/>
          <cell r="K157"/>
        </row>
        <row r="158">
          <cell r="D158"/>
          <cell r="J158"/>
          <cell r="K158"/>
        </row>
        <row r="159">
          <cell r="D159"/>
          <cell r="J159"/>
          <cell r="K159"/>
        </row>
        <row r="160">
          <cell r="D160"/>
          <cell r="J160"/>
          <cell r="K160"/>
        </row>
        <row r="161">
          <cell r="D161"/>
          <cell r="J161"/>
          <cell r="K161"/>
        </row>
        <row r="162">
          <cell r="D162"/>
          <cell r="J162"/>
          <cell r="K162"/>
        </row>
        <row r="163">
          <cell r="D163"/>
          <cell r="J163"/>
          <cell r="K163"/>
        </row>
        <row r="164">
          <cell r="D164"/>
          <cell r="J164"/>
          <cell r="K164"/>
        </row>
        <row r="165">
          <cell r="D165"/>
          <cell r="J165"/>
          <cell r="K165"/>
        </row>
        <row r="166">
          <cell r="D166"/>
          <cell r="J166"/>
          <cell r="K166"/>
        </row>
        <row r="167">
          <cell r="D167"/>
          <cell r="J167"/>
          <cell r="K167"/>
        </row>
        <row r="168">
          <cell r="D168"/>
          <cell r="J168"/>
          <cell r="K168"/>
        </row>
        <row r="169">
          <cell r="D169" t="str">
            <v>INTEREST RATE TYPE</v>
          </cell>
          <cell r="E169" t="str">
            <v>ZINSTYP</v>
          </cell>
          <cell r="F169" t="str">
            <v>CLASE DE TIPO DE INTERÉS</v>
          </cell>
          <cell r="J169"/>
          <cell r="K169"/>
        </row>
        <row r="170">
          <cell r="D170" t="str">
            <v>Interest rate where fixed rate</v>
          </cell>
          <cell r="E170" t="str">
            <v>Fester Zinssatz</v>
          </cell>
          <cell r="F170" t="str">
            <v>Tipo de interés si es a tipo fijo</v>
          </cell>
          <cell r="J170"/>
          <cell r="K170"/>
        </row>
        <row r="171">
          <cell r="D171" t="str">
            <v>Interest margin where floating rate</v>
          </cell>
          <cell r="E171" t="str">
            <v>Zinsmarge bei variabler Verzinsung</v>
          </cell>
          <cell r="F171" t="str">
            <v>Margen si es a tipo variable</v>
          </cell>
          <cell r="J171"/>
          <cell r="K171"/>
        </row>
        <row r="172">
          <cell r="D172" t="str">
            <v>BASIS over which interest margin is calculated</v>
          </cell>
          <cell r="E172" t="str">
            <v>BASISZINS für die Berechnung der Zinsmarge</v>
          </cell>
          <cell r="F172" t="str">
            <v>ÍNDICE BASE de referencia sobre el que se calcula el Margen</v>
          </cell>
          <cell r="H172"/>
          <cell r="I172"/>
          <cell r="J172"/>
          <cell r="K172"/>
        </row>
        <row r="173">
          <cell r="D173" t="str">
            <v>Covered Bond Programme Overview</v>
          </cell>
          <cell r="E173" t="str">
            <v>Programmüberblick</v>
          </cell>
          <cell r="F173" t="str">
            <v>RESUMEN DEL PROGRAMA DE CÉDULAS</v>
          </cell>
          <cell r="J173"/>
          <cell r="K173"/>
        </row>
        <row r="174">
          <cell r="D174"/>
          <cell r="E174"/>
          <cell r="F174"/>
          <cell r="J174"/>
          <cell r="K174"/>
        </row>
        <row r="175">
          <cell r="D175" t="str">
            <v>Total - outstanding Covered Bonds:</v>
          </cell>
          <cell r="E175" t="str">
            <v>Gesamtbetrag Ausstehender Gedeckter Schuldverschreibungen:</v>
          </cell>
          <cell r="F175" t="str">
            <v>Saldo Vivo de Cédulas:</v>
          </cell>
          <cell r="J175"/>
          <cell r="K175"/>
        </row>
        <row r="176">
          <cell r="D176"/>
          <cell r="E176"/>
          <cell r="F176"/>
          <cell r="J176"/>
          <cell r="K176"/>
        </row>
        <row r="177">
          <cell r="D177" t="str">
            <v>I. Total - Nominal LOAN BALANCE of COVER POOL:</v>
          </cell>
          <cell r="E177" t="str">
            <v>I. Gesamtbetrag - Nominaler KREDITSALDO der DECKUNGSMASSE:</v>
          </cell>
          <cell r="F177" t="str">
            <v>I. Total - SALDO VIVO DE PRÉSTAMOS de la CARTERA SUBYACENTE:</v>
          </cell>
          <cell r="J177"/>
          <cell r="K177"/>
        </row>
        <row r="178">
          <cell r="D178" t="str">
            <v>I.1.Total - residential LOAN BALANCE:</v>
          </cell>
          <cell r="E178" t="str">
            <v>I.1.Gesamtbetrag - KREDITSALDO für Wohnimmobilien:</v>
          </cell>
          <cell r="F178" t="str">
            <v>I.1.Total - SALDO VIVO DE PRÉSTAMOS residenciales:</v>
          </cell>
          <cell r="J178"/>
          <cell r="K178"/>
        </row>
        <row r="179">
          <cell r="D179" t="str">
            <v>I.2.Total - commercial LOAN BALANCE:</v>
          </cell>
          <cell r="E179" t="str">
            <v>I.2.Gesamtbetrag - KREDITSALDO für gewerblich genutzte Immobilien:</v>
          </cell>
          <cell r="F179" t="str">
            <v>I.2.Total - SALDO VIVO DE PRÉSTAMOS comerciales:</v>
          </cell>
          <cell r="J179"/>
          <cell r="K179"/>
        </row>
        <row r="180">
          <cell r="D180" t="str">
            <v>I.3.Total - public sector LOAN BALANCE:</v>
          </cell>
          <cell r="E180" t="str">
            <v>I.3.Gesamtbetrag - KREDITSALDO für den öffentlichen Sektor:</v>
          </cell>
          <cell r="F180" t="str">
            <v>I.3.Total - SALDO VIVO DE PRÉSTAMOS al sector público:</v>
          </cell>
          <cell r="J180"/>
          <cell r="K180"/>
        </row>
        <row r="181">
          <cell r="D181" t="str">
            <v>I.4. Total - Nominal substitute collateral:</v>
          </cell>
          <cell r="E181" t="str">
            <v>I.4. Gesamtbetrag - Nominalwert der Ersatzsicherheiten:</v>
          </cell>
          <cell r="F181" t="str">
            <v>I.4. Total - SALDO VIVO de la cartera elegible :</v>
          </cell>
          <cell r="J181"/>
          <cell r="K181"/>
        </row>
        <row r="182">
          <cell r="D182"/>
          <cell r="E182"/>
          <cell r="F182"/>
          <cell r="J182"/>
          <cell r="K182"/>
        </row>
        <row r="183">
          <cell r="D183"/>
          <cell r="E183"/>
          <cell r="F183"/>
          <cell r="J183"/>
          <cell r="K183"/>
        </row>
        <row r="184">
          <cell r="D184" t="str">
            <v>Scheduled balance of Covered Bond issues in next quarter (using DEFAULT CURRENCY - see also CURRENCY CONVERSION):</v>
          </cell>
          <cell r="E184" t="str">
            <v>Vorgesehener Betrag von Emissionen Gedeckter Schuldverschreibungen im nächsten Quartal (STANDARDWÄHRUNG - vgl. auch WÄHRUNGSUMRECHUNG):</v>
          </cell>
          <cell r="F184" t="str">
            <v>Volumen previsto de emisión de Cédulas en el próximo trimestre (usando la DIVISA ESTÁNDAR - ver CONVERSIÓN DE DIVISAS):</v>
          </cell>
          <cell r="J184"/>
          <cell r="K184"/>
        </row>
        <row r="185">
          <cell r="D185"/>
          <cell r="E185"/>
          <cell r="F185"/>
          <cell r="J185"/>
          <cell r="K185"/>
        </row>
        <row r="186">
          <cell r="D186" t="str">
            <v>Bond by Bond Information</v>
          </cell>
          <cell r="E186" t="str">
            <v>Daten zu den einzelnen Schuldverschreibungen</v>
          </cell>
          <cell r="F186" t="str">
            <v>Información por emisión de Cédulas</v>
          </cell>
          <cell r="J186"/>
          <cell r="K186"/>
        </row>
        <row r="187">
          <cell r="D187"/>
          <cell r="E187"/>
          <cell r="F187"/>
          <cell r="J187"/>
          <cell r="K187"/>
        </row>
        <row r="188">
          <cell r="D188" t="str">
            <v>ISIN</v>
          </cell>
          <cell r="E188" t="str">
            <v>ISIN</v>
          </cell>
          <cell r="F188" t="str">
            <v>ISIN</v>
          </cell>
          <cell r="J188"/>
          <cell r="K188"/>
        </row>
        <row r="189">
          <cell r="D189" t="str">
            <v>--</v>
          </cell>
          <cell r="E189" t="str">
            <v>--</v>
          </cell>
          <cell r="F189" t="str">
            <v>--</v>
          </cell>
          <cell r="J189"/>
          <cell r="K189"/>
        </row>
        <row r="190">
          <cell r="D190" t="str">
            <v>Currency</v>
          </cell>
          <cell r="E190" t="str">
            <v>Währung</v>
          </cell>
          <cell r="F190" t="str">
            <v>Divisa</v>
          </cell>
          <cell r="J190"/>
          <cell r="K190"/>
        </row>
        <row r="191">
          <cell r="D191" t="str">
            <v>Current balance in currency of issued Covered Bond</v>
          </cell>
          <cell r="E191" t="str">
            <v>Laufender Saldo in der Währung der emittierten Gedeckten Schuldverschreibung</v>
          </cell>
          <cell r="F191" t="str">
            <v>Saldo Vivo en la divisa en que se emitió la Cédulas</v>
          </cell>
          <cell r="J191"/>
          <cell r="K191"/>
        </row>
        <row r="192">
          <cell r="D192" t="str">
            <v>Current balance (in DEFAULT CURRENCY)</v>
          </cell>
          <cell r="E192" t="str">
            <v>Laufender Saldo (in STANDARDWÄHRUNG)</v>
          </cell>
          <cell r="F192" t="str">
            <v>Saldo Vivo (en DIVISA ESTÁNDAR)</v>
          </cell>
          <cell r="J192"/>
          <cell r="K192"/>
        </row>
        <row r="193">
          <cell r="D193" t="str">
            <v>Expected maturity date (dd/mm/yyyy)</v>
          </cell>
          <cell r="E193" t="str">
            <v>Erwartetes Fälligkeitsdatum (TT/MM/JJJJ)</v>
          </cell>
          <cell r="F193" t="str">
            <v>Fecha de vencimiento esperado (dd/mm/aaaa)</v>
          </cell>
          <cell r="J193"/>
          <cell r="K193"/>
        </row>
        <row r="194">
          <cell r="D194" t="str">
            <v>Legal final (or "extended" maturity date, dd/mm/yyyy )</v>
          </cell>
          <cell r="E194" t="str">
            <v xml:space="preserve">Rechtliche Endfälligkeit (tt/mm/jjjj ) </v>
          </cell>
          <cell r="F194" t="str">
            <v>Fecha de vencimiento legal (o vencimiento "extendido", dd/mm/aaaa )</v>
          </cell>
          <cell r="J194"/>
          <cell r="K194"/>
        </row>
        <row r="195">
          <cell r="D195" t="str">
            <v>Next Interest Payment Date (dd/mm/yyyy)</v>
          </cell>
          <cell r="E195" t="str">
            <v>Nächste Zins- oder Kuponzahlung auf Covered Bonds (tt/mm/jjjj)</v>
          </cell>
          <cell r="F195" t="str">
            <v>Fecha del próximo pago de intereses (dd/mm/aaaa)</v>
          </cell>
          <cell r="J195"/>
          <cell r="K195"/>
        </row>
        <row r="196">
          <cell r="D196" t="str">
            <v>NIPD as first IPD following the REPORT DATE.</v>
          </cell>
          <cell r="E196" t="str">
            <v>Datum der nächsten Zinszahlung ist das Datum der ersten Zinszahlung nach dem BERICHTSDATUM.</v>
          </cell>
          <cell r="F196" t="str">
            <v>Próxima fecha tras la FECHA DEL INFORME</v>
          </cell>
          <cell r="J196"/>
          <cell r="K196"/>
        </row>
        <row r="197">
          <cell r="D197" t="str">
            <v>Next Principal Payment Date (dd/mm/yyyy)</v>
          </cell>
          <cell r="E197" t="str">
            <v xml:space="preserve"> Nächste Tilgungszahlung auf Covered Bonds (tt/mm/jjjj)</v>
          </cell>
          <cell r="F197" t="str">
            <v>Fecha del Próximo Pago de Principal (dd/mm/aaaa)</v>
          </cell>
          <cell r="J197"/>
          <cell r="K197"/>
        </row>
        <row r="198">
          <cell r="D198" t="str">
            <v>NPPD as first PPD following the REPORT DATE.</v>
          </cell>
          <cell r="E198" t="str">
            <v>Datum der nächsten Tilgungszahlung ist das Datum der ersten Tilgungszahlung nach dem BERICHTSDATUM.</v>
          </cell>
          <cell r="F198" t="str">
            <v>Próxima fecha tras la FECHA DEL INFORME</v>
          </cell>
          <cell r="J198"/>
          <cell r="K198"/>
        </row>
        <row r="199">
          <cell r="D199" t="str">
            <v>Interest payment frequency</v>
          </cell>
          <cell r="E199" t="str">
            <v>Häufigkeit der Zinszahlungen</v>
          </cell>
          <cell r="F199" t="str">
            <v>Frecuencia de pago de intereses</v>
          </cell>
          <cell r="J199"/>
          <cell r="K199"/>
        </row>
        <row r="200">
          <cell r="D200" t="str">
            <v>Principal payment frequency</v>
          </cell>
          <cell r="E200" t="str">
            <v>Häufigkeit der Tilgungszahlungen</v>
          </cell>
          <cell r="F200" t="str">
            <v>Frecuencia de pago de principal</v>
          </cell>
          <cell r="J200"/>
          <cell r="K200"/>
        </row>
        <row r="201">
          <cell r="D201" t="str">
            <v>Principal redemption type</v>
          </cell>
          <cell r="E201" t="str">
            <v>Art der Tilgung</v>
          </cell>
          <cell r="F201" t="str">
            <v>Tipo de amortización de principal</v>
          </cell>
          <cell r="J201"/>
          <cell r="K201"/>
        </row>
        <row r="202">
          <cell r="D202"/>
          <cell r="J202"/>
          <cell r="K202"/>
        </row>
        <row r="203">
          <cell r="D203"/>
          <cell r="E203"/>
          <cell r="F203"/>
          <cell r="H203"/>
          <cell r="I203"/>
          <cell r="J203"/>
          <cell r="K203"/>
        </row>
        <row r="204">
          <cell r="D204" t="str">
            <v>Over-Collateralisation (OC)</v>
          </cell>
          <cell r="E204" t="str">
            <v>Überbesicherung</v>
          </cell>
          <cell r="F204" t="str">
            <v>Sobre-Colateralización (OC)</v>
          </cell>
          <cell r="J204"/>
          <cell r="K204"/>
        </row>
        <row r="205">
          <cell r="D205"/>
          <cell r="F205"/>
          <cell r="J205"/>
          <cell r="K205"/>
        </row>
        <row r="206">
          <cell r="D206" t="str">
            <v>In terms of BASIC OC</v>
          </cell>
          <cell r="E206" t="str">
            <v>GRUNDLEGENDE ÜBERBESICHERUNG</v>
          </cell>
          <cell r="F206" t="str">
            <v>En términos de OC BÁSICA</v>
          </cell>
          <cell r="J206"/>
          <cell r="K206"/>
        </row>
        <row r="207">
          <cell r="D207" t="str">
            <v>Form of BASIC OC 1: NOMINAL OC or NPV OC</v>
          </cell>
          <cell r="E207" t="str">
            <v>Form der GRUNDLEGENDEN ÜBERBESICHERUNG 1: NOMINALE ÜBERBESICHERUNG oder barwertige ÜBERBESICHERUNG</v>
          </cell>
          <cell r="F207" t="str">
            <v>Forma de OC BÁSICA 1: OC NOMINAL u OC NPV</v>
          </cell>
          <cell r="J207"/>
          <cell r="K207"/>
        </row>
        <row r="208">
          <cell r="D208" t="str">
            <v>Form of BASIC OC 2: ELIGIBLE ONLY</v>
          </cell>
          <cell r="E208" t="str">
            <v>-</v>
          </cell>
          <cell r="F208" t="str">
            <v>Forma de OC BÁSICA 2: OC ELEGIBLE</v>
          </cell>
          <cell r="J208"/>
          <cell r="K208"/>
        </row>
        <row r="209">
          <cell r="D209" t="str">
            <v>In terms of ADDITIONAL OC for specific legal risks</v>
          </cell>
          <cell r="E209" t="str">
            <v>-</v>
          </cell>
          <cell r="F209" t="str">
            <v>En términos de OC ADICIONAL para riesgos legales específicos</v>
          </cell>
          <cell r="J209"/>
          <cell r="K209"/>
        </row>
        <row r="210">
          <cell r="D210" t="str">
            <v>In terms of ADDITIONAL OC for reinvestment risk</v>
          </cell>
          <cell r="E210" t="str">
            <v>-</v>
          </cell>
          <cell r="F210" t="str">
            <v>En términos de OC ADICIONAL para riesgos de reinversión</v>
          </cell>
          <cell r="J210"/>
          <cell r="K210"/>
        </row>
        <row r="211">
          <cell r="D211" t="str">
            <v xml:space="preserve">Form of ADDITIONAL OC </v>
          </cell>
          <cell r="E211" t="str">
            <v>-</v>
          </cell>
          <cell r="F211" t="str">
            <v>Forma de OC ADICIONAL</v>
          </cell>
          <cell r="J211"/>
          <cell r="K211"/>
        </row>
        <row r="212">
          <cell r="D212" t="str">
            <v>Total OC</v>
          </cell>
          <cell r="E212" t="str">
            <v>Gesamte ÜBERBESICHERUNG</v>
          </cell>
          <cell r="F212" t="str">
            <v>OC Total</v>
          </cell>
          <cell r="J212"/>
          <cell r="K212"/>
        </row>
        <row r="213">
          <cell r="D213"/>
          <cell r="E213"/>
          <cell r="F213"/>
          <cell r="J213"/>
          <cell r="K213"/>
        </row>
        <row r="214">
          <cell r="D214" t="str">
            <v>OC required by Covered Bond framework</v>
          </cell>
          <cell r="E214" t="str">
            <v>gesetzlich vorgeschriebene ÜBERBESICHERUNG</v>
          </cell>
          <cell r="F214" t="str">
            <v>OC requerido por la legislación aplicable a las Cédulas</v>
          </cell>
          <cell r="J214"/>
          <cell r="K214"/>
        </row>
        <row r="215">
          <cell r="D215" t="str">
            <v>OC required by terms and conditions of the bonds</v>
          </cell>
          <cell r="E215" t="str">
            <v>vertragliche ÜBERBESICHERUNG</v>
          </cell>
          <cell r="F215" t="str">
            <v>OC requerido por los términos y condiciones de las Cédulas</v>
          </cell>
          <cell r="J215"/>
          <cell r="K215"/>
        </row>
        <row r="216">
          <cell r="D216" t="str">
            <v>TARGET OC AGREED WITH MOODY'S</v>
          </cell>
          <cell r="E216" t="str">
            <v>MIT MOODY'S VEREINBARTE, ANGESTREBTE ÜBERBESICHERUNG</v>
          </cell>
          <cell r="F216" t="str">
            <v>OC MÍNIMO ACORDADO CON MOODY'S</v>
          </cell>
          <cell r="J216"/>
          <cell r="K216"/>
        </row>
        <row r="217">
          <cell r="D217"/>
          <cell r="F217"/>
          <cell r="J217"/>
          <cell r="K217"/>
        </row>
        <row r="218">
          <cell r="D218" t="str">
            <v>In terms of BASIC OC</v>
          </cell>
          <cell r="E218" t="str">
            <v>GRUNDLEGENDE ÜBERBESICHERUNG</v>
          </cell>
          <cell r="F218" t="str">
            <v>En términos de OC BÁSICA</v>
          </cell>
          <cell r="J218"/>
          <cell r="K218"/>
        </row>
        <row r="219">
          <cell r="D219" t="str">
            <v>In terms of ADDITIONAL OC for specific legal risks</v>
          </cell>
          <cell r="E219" t="str">
            <v>-</v>
          </cell>
          <cell r="F219" t="str">
            <v>En términos de OC ADICIONAL para riesgos legales específicos</v>
          </cell>
          <cell r="J219"/>
          <cell r="K219"/>
        </row>
        <row r="220">
          <cell r="D220" t="str">
            <v>ADDITIONAL OC for reinvestment risk</v>
          </cell>
          <cell r="E220" t="str">
            <v>-</v>
          </cell>
          <cell r="F220" t="str">
            <v>En términos de OC ADICIONAL para riesgos de reinversión</v>
          </cell>
          <cell r="J220"/>
          <cell r="K220"/>
        </row>
        <row r="221">
          <cell r="D221" t="str">
            <v>Total OC</v>
          </cell>
          <cell r="E221" t="str">
            <v>Gesamte ÜBERBESICHERUNG</v>
          </cell>
          <cell r="F221" t="str">
            <v>OC Total</v>
          </cell>
          <cell r="J221"/>
          <cell r="K221"/>
        </row>
        <row r="222">
          <cell r="D222" t="str">
            <v>NOMINAL OC currently in COVER POOL based on ELIGIBLE ONLY</v>
          </cell>
          <cell r="E222" t="str">
            <v>NOMINALE ÜBERBESICHERUNG in der DECKUNGSMASSE auf der Grundlage der DECKUNGSSTOCKFÄHIGEN ÜBERBESICHERUNG</v>
          </cell>
          <cell r="F222" t="str">
            <v>OC NOMINAL actual en la CARTERA SUBYACENTE basado en ACTIVOS ELEGIBLES</v>
          </cell>
          <cell r="J222"/>
          <cell r="K222"/>
        </row>
        <row r="223">
          <cell r="D223" t="str">
            <v>NOMINAL OC currently in COVER POOL based on all Assets (i.e. with INELIGIBLE INCLUDED)</v>
          </cell>
          <cell r="E223" t="str">
            <v>-</v>
          </cell>
          <cell r="F223" t="str">
            <v>OC NOMINAL actual en la CARTERA SUBYACENTE basado en TODOS LOS ACTIVOS (incluyendo la CARTERA NO ELEGIBLE)</v>
          </cell>
          <cell r="J223"/>
          <cell r="K223"/>
        </row>
        <row r="224">
          <cell r="D224"/>
          <cell r="F224"/>
          <cell r="J224"/>
          <cell r="K224"/>
        </row>
        <row r="225">
          <cell r="D225" t="str">
            <v>ASSET AND LIABILITY DATA (FOR ALL ISSUERS)</v>
          </cell>
          <cell r="E225" t="str">
            <v>VERMÖGENSWERTE UND VERBINDLICHKEITEN (FÜR ALLE EMITTENTEN)</v>
          </cell>
          <cell r="F225" t="str">
            <v>INFORMACIÓN DE ACTIVOS Y PASIVOS (PARA TODOS LOS EMISORES)</v>
          </cell>
          <cell r="J225"/>
          <cell r="K225"/>
        </row>
        <row r="226">
          <cell r="D226" t="str">
            <v>Nominal measures</v>
          </cell>
          <cell r="E226" t="str">
            <v>Nominal gemessen</v>
          </cell>
          <cell r="F226" t="str">
            <v>En términos nominales</v>
          </cell>
          <cell r="J226"/>
          <cell r="K226"/>
        </row>
        <row r="227">
          <cell r="D227" t="str">
            <v>Nominal value of COVER POOL (including substitute collateral)</v>
          </cell>
          <cell r="E227" t="str">
            <v>Nominalwert der DECKUNGSMASSE (einschließlich Ersatzsicherheiten)</v>
          </cell>
          <cell r="F227" t="str">
            <v>Valor nominal de la CARTERA SUBYACENTE (incluyendo toda la cartera)</v>
          </cell>
          <cell r="J227"/>
          <cell r="K227"/>
        </row>
        <row r="228">
          <cell r="D228" t="str">
            <v>Nominal value of Covered Bonds in issue</v>
          </cell>
          <cell r="E228" t="str">
            <v>Nominalwert der emittierten Gedeckten Schuldverschreibungen</v>
          </cell>
          <cell r="F228" t="str">
            <v>Valor nominal de las Cédulas vivas</v>
          </cell>
          <cell r="J228"/>
          <cell r="K228"/>
        </row>
        <row r="229">
          <cell r="D229"/>
          <cell r="F229"/>
          <cell r="J229"/>
          <cell r="K229"/>
        </row>
        <row r="230">
          <cell r="D230" t="str">
            <v>NPV CALCULATION WITH MOODY’S STANDARD STRESS CALCULATION</v>
          </cell>
          <cell r="E230" t="str">
            <v>BERECHNUNG DES BARWERTS MIT HILFE DER STANDARD-STRESS-BERECHNUNG VON MOODY'S</v>
          </cell>
          <cell r="F230" t="str">
            <v>CÓMPUTO DE NPV SEGÚN EL CÁLCULO DE MOODY'S</v>
          </cell>
          <cell r="J230"/>
          <cell r="K230"/>
        </row>
        <row r="231">
          <cell r="D231" t="str">
            <v>NPV of COVER POOL (actual)</v>
          </cell>
          <cell r="E231" t="str">
            <v>Barwert der DECKUNGSMASSE (tatsächlicher Wert)</v>
          </cell>
          <cell r="F231" t="str">
            <v>NPV de la CARTERA SUBYACENTE (actual)</v>
          </cell>
          <cell r="J231"/>
          <cell r="K231"/>
        </row>
        <row r="232">
          <cell r="D232" t="str">
            <v>NPV of Covered Bonds (actual)</v>
          </cell>
          <cell r="E232" t="str">
            <v>Barwert der Gedeckten Schuldverschreibungen (tatsächlicher Wert)</v>
          </cell>
          <cell r="F232" t="str">
            <v>NPV de las Cédulas (actual)</v>
          </cell>
          <cell r="J232"/>
          <cell r="K232"/>
        </row>
        <row r="233">
          <cell r="D233" t="str">
            <v>NPV of COVER POOL STRESS 1</v>
          </cell>
          <cell r="E233" t="str">
            <v>Barwert der DECKUNGSMASSE (STRESS 1)</v>
          </cell>
          <cell r="F233" t="str">
            <v>NPV de la CARTERA SUBYACENTE STRESS 1</v>
          </cell>
          <cell r="J233"/>
          <cell r="K233"/>
        </row>
        <row r="234">
          <cell r="D234" t="str">
            <v>NPV of COVER POOL STRESS 2</v>
          </cell>
          <cell r="E234" t="str">
            <v>Barwert der DECKUNGSMASSE (STRESS 2)</v>
          </cell>
          <cell r="F234" t="str">
            <v>NPV de la CARTERA SUBYACENTE STRESS 2</v>
          </cell>
          <cell r="J234"/>
          <cell r="K234"/>
        </row>
        <row r="235">
          <cell r="D235" t="str">
            <v>NPV of COVER POOL STRESS 3</v>
          </cell>
          <cell r="E235" t="str">
            <v>Barwert der DECKUNGSMASSE (STRESS 3)</v>
          </cell>
          <cell r="F235" t="str">
            <v>NPV de la CARTERA SUBYACENTE STRESS 3</v>
          </cell>
          <cell r="K235"/>
        </row>
        <row r="236">
          <cell r="D236" t="str">
            <v>NPV of COVER POOL STRESS 4</v>
          </cell>
          <cell r="E236" t="str">
            <v>Barwert der DECKUNGSMASSE (STRESS 4)</v>
          </cell>
          <cell r="F236" t="str">
            <v>NPV de la CARTERA SUBYACENTE STRESS 4</v>
          </cell>
          <cell r="K236"/>
        </row>
        <row r="237">
          <cell r="D237" t="str">
            <v>NPV of Covered Bonds STRESS 1</v>
          </cell>
          <cell r="E237" t="str">
            <v>Barwert der Gedeckten Schuldverschreibungen (STRESS 1)</v>
          </cell>
          <cell r="F237" t="str">
            <v>NPV de las Cédulas STRESS 1</v>
          </cell>
          <cell r="K237"/>
        </row>
        <row r="238">
          <cell r="D238" t="str">
            <v>NPV of Covered Bonds STRESS 2</v>
          </cell>
          <cell r="E238" t="str">
            <v>Barwert der Gedeckten Schuldverschreibungen (STRESS 2)</v>
          </cell>
          <cell r="F238" t="str">
            <v>NPV de las Cédulas STRESS 2</v>
          </cell>
          <cell r="K238"/>
        </row>
        <row r="239">
          <cell r="D239" t="str">
            <v>NPV of Covered Bonds STRESS 3 for pass through (non-bullet) bonds only</v>
          </cell>
          <cell r="E239" t="str">
            <v>Barwert der Gedeckten Schuldverschreibungen (STRESS 3), nur bei pass-through Schuldverschreibungen (nicht endfällig)</v>
          </cell>
          <cell r="F239" t="str">
            <v>NPV de las Cédulas STRESS 3</v>
          </cell>
          <cell r="J239"/>
          <cell r="K239"/>
        </row>
        <row r="240">
          <cell r="D240" t="str">
            <v>NPV of Covered Bonds STRESS 4 for pass through (non-bullet) bonds only</v>
          </cell>
          <cell r="E240" t="str">
            <v>Barwert der Gedeckten Schuldverschreibungen (STRESS 4), nur bei pass-through Schuldverschreibungen (nicht endfällig)</v>
          </cell>
          <cell r="F240" t="str">
            <v>NPV de las Cédulas STRESS 4</v>
          </cell>
          <cell r="J240"/>
          <cell r="K240"/>
        </row>
        <row r="241">
          <cell r="D241"/>
          <cell r="F241"/>
          <cell r="J241"/>
          <cell r="K241"/>
        </row>
        <row r="242">
          <cell r="D242" t="str">
            <v>DETAILS ON NPV CALCULATIONS IMPOSED BY LEGISLATION (FOR ISSUERS WHO HAVE AN NPV TEST IMPOSED BY LEGISLATION)</v>
          </cell>
          <cell r="E242" t="str">
            <v>DETAILS DER GESETZLICH VORGESCHRIEBENEN BARWERTBERECHNUNG (BEI EMITTENTEN, BEI DENEN EIN BARWERTTEST GESETZLICH VORGESCHRIEBEN IST)</v>
          </cell>
          <cell r="F242" t="str">
            <v>DETALLE DEL CÓMPUTO DE NPV IMPUESTO POR LA LEGISLACIÓN (EN AQUELLAS LEGISLACIONES QUE ASÍ LO RECOGEN)</v>
          </cell>
          <cell r="J242"/>
          <cell r="K242"/>
        </row>
        <row r="243">
          <cell r="D243" t="str">
            <v>- NPV of COVER POOL</v>
          </cell>
          <cell r="E243" t="str">
            <v>- Barwert der DECKUNGSMASSE</v>
          </cell>
          <cell r="F243" t="str">
            <v>- NPV de la CARTERA SUBYACENTE</v>
          </cell>
          <cell r="J243"/>
          <cell r="K243"/>
        </row>
        <row r="244">
          <cell r="D244" t="str">
            <v>- NPV of Covered Bonds in issue</v>
          </cell>
          <cell r="E244" t="str">
            <v xml:space="preserve">- Barwert der Gedeckten Schuldverschreibungen </v>
          </cell>
          <cell r="F244" t="str">
            <v>- NPV de las Cédulas</v>
          </cell>
          <cell r="J244"/>
          <cell r="K244"/>
        </row>
        <row r="245">
          <cell r="D245" t="str">
            <v>Assumptions used in NPV calculation:</v>
          </cell>
          <cell r="E245" t="str">
            <v>Annahmen für die Berechnung des Barwerts:</v>
          </cell>
          <cell r="F245" t="str">
            <v>Hipótesis utilizadas en el cómputo del NPV</v>
          </cell>
          <cell r="J245"/>
          <cell r="K245"/>
        </row>
        <row r="246">
          <cell r="D246" t="str">
            <v>- Reference curves used for NPV calculations</v>
          </cell>
          <cell r="E246" t="str">
            <v>- Referenzkurven für die Berechnung des Barwerts</v>
          </cell>
          <cell r="F246" t="str">
            <v>- Curvas de tipos usadas en el cómputo del NPV</v>
          </cell>
          <cell r="J246"/>
          <cell r="K246"/>
        </row>
        <row r="247">
          <cell r="D247" t="str">
            <v>- Type of stress adopted for NPV calculation</v>
          </cell>
          <cell r="E247" t="str">
            <v>- Typ des für die Berechnung des Barwerts verwendeten Stresses</v>
          </cell>
          <cell r="F247" t="str">
            <v>-Tipo de stress usado en el cómputo de NPV</v>
          </cell>
          <cell r="J247"/>
          <cell r="K247"/>
        </row>
        <row r="248">
          <cell r="D248" t="str">
            <v>- What PREPAYMENT level was assumed for the COVER POOL in this calculation</v>
          </cell>
          <cell r="E248" t="str">
            <v>- Annahmen zu VORZEITIGEN ZAHLUNGEN auf die DECKUNGSMASSE in dieser Berechnung</v>
          </cell>
          <cell r="F248" t="str">
            <v>-¿Qué tipo de PREPAGO se ha asumido para la CARTERA SUBYACENTE en este cálculo?</v>
          </cell>
          <cell r="J248"/>
          <cell r="K248"/>
        </row>
        <row r="249">
          <cell r="D249" t="str">
            <v>- If PREPAYMENT level used was not zero, what rate of PREPAYMENT on the COVER POOL was used? (if more than one specify different rates for different products)</v>
          </cell>
          <cell r="E249" t="str">
            <v>- Wenn die angenommene VORAUSZAHLUNG nicht bei Null lag, welcher VORAUSZAHLUNGssatz auf die DECKUNGSMASSE wurde angenommen? (geben Sie gegebenenfalls die unterschiedlichen Sätze für unterschiedliche Produkte an)</v>
          </cell>
          <cell r="F249" t="str">
            <v>-Si el nivel de PREPAGO no fue cero, qué nivel de PREPAGO de la CARTERA SUBYACENTE se utilizó? (si fue más de uno especificar los distintos niveles para los diversos tipos de productos)</v>
          </cell>
          <cell r="J249"/>
          <cell r="K249"/>
        </row>
        <row r="250">
          <cell r="D250"/>
          <cell r="J250"/>
          <cell r="K250"/>
        </row>
        <row r="251">
          <cell r="D251"/>
          <cell r="E251"/>
          <cell r="F251"/>
          <cell r="H251"/>
          <cell r="I251"/>
          <cell r="J251"/>
          <cell r="K251"/>
        </row>
        <row r="252">
          <cell r="D252" t="str">
            <v>Residential Data Template</v>
          </cell>
          <cell r="E252" t="str">
            <v>Datenvorlage WOHNIMMOBILIEN-KREDITE</v>
          </cell>
          <cell r="F252" t="str">
            <v>INFORMACIÓN CARTERA RESIDENCIAL</v>
          </cell>
          <cell r="J252"/>
          <cell r="K252"/>
        </row>
        <row r="253">
          <cell r="D253"/>
          <cell r="E253"/>
          <cell r="F253"/>
          <cell r="J253"/>
          <cell r="K253"/>
        </row>
        <row r="254">
          <cell r="D254" t="str">
            <v>Overview Data</v>
          </cell>
          <cell r="E254" t="str">
            <v>Datenüberblick</v>
          </cell>
          <cell r="F254" t="str">
            <v>Resumen de Información</v>
          </cell>
          <cell r="J254"/>
          <cell r="K254"/>
        </row>
        <row r="255">
          <cell r="D255" t="str">
            <v>Country</v>
          </cell>
          <cell r="E255" t="str">
            <v>Land</v>
          </cell>
          <cell r="F255" t="str">
            <v>País</v>
          </cell>
          <cell r="J255"/>
          <cell r="K255"/>
        </row>
        <row r="256">
          <cell r="D256" t="str">
            <v>Total LOAN BALANCE:</v>
          </cell>
          <cell r="E256" t="str">
            <v>Gesamter KREDITSALDO:</v>
          </cell>
          <cell r="F256" t="str">
            <v>Total SALDO VIVO DE PRÉSTAMOS:</v>
          </cell>
          <cell r="J256"/>
          <cell r="K256"/>
        </row>
        <row r="257">
          <cell r="D257" t="str">
            <v>Average LOAN BALANCE:</v>
          </cell>
          <cell r="E257" t="str">
            <v>DURCHSCHNITTLICHER KREDITSALDO</v>
          </cell>
          <cell r="F257" t="str">
            <v>MEDIA PONDERADA del SALDO VIVO</v>
          </cell>
          <cell r="J257"/>
          <cell r="K257"/>
        </row>
        <row r="258">
          <cell r="D258"/>
          <cell r="E258"/>
          <cell r="F258"/>
          <cell r="J258"/>
          <cell r="K258"/>
        </row>
        <row r="259">
          <cell r="D259" t="str">
            <v>WA SEASONING (in months):</v>
          </cell>
          <cell r="E259" t="str">
            <v>Gewichtete durchschn. BISHERIGE LAUFZEIT (in Monaten):</v>
          </cell>
          <cell r="F259" t="str">
            <v>ANTIGÜEDAD MEDIA PONDERADA (en meses):</v>
          </cell>
          <cell r="J259"/>
          <cell r="K259"/>
        </row>
        <row r="260">
          <cell r="D260" t="str">
            <v>WA REMAINING TERM (in months):</v>
          </cell>
          <cell r="E260" t="str">
            <v>Gewichtete durchschn. VERBLEIBENDE LAUFZEIT (in Monaten):</v>
          </cell>
          <cell r="F260" t="str">
            <v>PLAZO DE VIDA MEDIA PONDERADA (en meses):</v>
          </cell>
          <cell r="J260"/>
          <cell r="K260"/>
        </row>
        <row r="261">
          <cell r="D261" t="str">
            <v>NO. OF BORROWERS:</v>
          </cell>
          <cell r="E261" t="str">
            <v>ZAHL DER KREDITNEHMER:</v>
          </cell>
          <cell r="F261" t="str">
            <v>Nº. DE DEUDORES:</v>
          </cell>
          <cell r="J261"/>
          <cell r="K261"/>
        </row>
        <row r="262">
          <cell r="D262" t="str">
            <v>NO. OF LOANS:</v>
          </cell>
          <cell r="E262" t="str">
            <v>ZAHL DER KREDITE:</v>
          </cell>
          <cell r="F262" t="str">
            <v>Nº. DE PRÉSTAMOS</v>
          </cell>
          <cell r="J262"/>
          <cell r="K262"/>
        </row>
        <row r="263">
          <cell r="D263" t="str">
            <v>NO. OF PROPERTIES:</v>
          </cell>
          <cell r="E263" t="str">
            <v>ZAHL DER IMMOBILIEN:</v>
          </cell>
          <cell r="F263" t="str">
            <v>Nº. DE PROPIEDADES:</v>
          </cell>
          <cell r="J263"/>
          <cell r="K263"/>
        </row>
        <row r="264">
          <cell r="D264" t="str">
            <v>WA Indexed LTV (LOAN BALANCE / INDEXED valuation) (e.g. 85% or 0.85):</v>
          </cell>
          <cell r="E264" t="str">
            <v>Gewichtete durchschnittliche BELEIHUNGSQUOTE</v>
          </cell>
          <cell r="F264" t="str">
            <v>LTV medio ponderado</v>
          </cell>
          <cell r="J264"/>
          <cell r="K264"/>
        </row>
        <row r="265">
          <cell r="D265" t="str">
            <v>WA LTV (LOAN BALANCE / original valuation) (e.g. 85% or 0.85):</v>
          </cell>
          <cell r="E265" t="str">
            <v>Gewichtete durchschnittliche BELEIHUNGSQUOTE (z.B 85% oder 0.85):</v>
          </cell>
          <cell r="F265" t="str">
            <v>LTV MEDIO PONDERADO:</v>
          </cell>
          <cell r="J265"/>
          <cell r="K265"/>
        </row>
        <row r="266">
          <cell r="D266"/>
          <cell r="E266"/>
          <cell r="F266"/>
          <cell r="J266"/>
          <cell r="K266"/>
        </row>
        <row r="267">
          <cell r="D267" t="str">
            <v>WA Interest Rate on Floating rate Loans (e.g. 3.12% or 0.0312):</v>
          </cell>
          <cell r="E267" t="str">
            <v>Gewichteter Durchschnittszins für variabel verzinsliche Kredite (zB 3.12% oder 0.0312):</v>
          </cell>
          <cell r="F267" t="str">
            <v>TIPO DE INTERÉS MEDIO PONDERADO DE Préstamos a tipo variable:</v>
          </cell>
          <cell r="J267"/>
          <cell r="K267"/>
        </row>
        <row r="268">
          <cell r="D268" t="str">
            <v>WA MARGIN ON FLOATING RATE LOANS (in bps):</v>
          </cell>
          <cell r="E268" t="str">
            <v>GEWICHTETE DURCHSCHNITTLICHE MARGE FÜR VARIABEL VERZINSLICHE KREDITE (in bps):</v>
          </cell>
          <cell r="F268" t="str">
            <v>MARGEN MEDIO PONDERADO DE Préstamos a tipo variable:</v>
          </cell>
          <cell r="J268"/>
          <cell r="K268"/>
        </row>
        <row r="269">
          <cell r="D269" t="str">
            <v>WA Interest Rate on Floating rate Loans originated over last quarter prior to the REPORT DATE (e.g. 3.12% or 0.0312):</v>
          </cell>
          <cell r="E269" t="str">
            <v>Gewichteter Durchschnittszins für variabel verzinsliche Kredite, die im letzten Quartal vor dem BERICHTSDATUM entstanden (zB 3.12% oder 0.0312):</v>
          </cell>
          <cell r="F269" t="str">
            <v>MARGEN MEDIO PONDERADO DE Préstamos a tipo variable originados en el trimestre anterior a la FECHA DEL INFORME:</v>
          </cell>
          <cell r="J269"/>
          <cell r="K269"/>
        </row>
        <row r="270">
          <cell r="D270" t="str">
            <v>Percentage of VARIABLE MORTGAGES (s. Def.)</v>
          </cell>
          <cell r="E270" t="str">
            <v/>
          </cell>
          <cell r="F270" t="str">
            <v>--</v>
          </cell>
          <cell r="J270"/>
          <cell r="K270"/>
        </row>
        <row r="271">
          <cell r="D271" t="str">
            <v>WA Interest Rate on Fixed rate Loans (e.g. 3.12% or 0.0312):</v>
          </cell>
          <cell r="E271" t="str">
            <v>Gewichteter Durchschnittszins für fest verzinsliche Kredite (zB 3.12% oder 0.0312):</v>
          </cell>
          <cell r="F271" t="str">
            <v>TIPO DE INTERÉS MEDIO PONDERADO DE Préstamos a tipo fijo:</v>
          </cell>
          <cell r="J271"/>
          <cell r="K271"/>
        </row>
        <row r="272">
          <cell r="D272" t="str">
            <v>WA MARGIN ON FIXED RATE LOANS (in bps):</v>
          </cell>
          <cell r="E272" t="str">
            <v>GEWICHTETE DURCHSCHNITTLICHE MARGE FÜR FESTVERZINSLICHE KREDITE (in bps):</v>
          </cell>
          <cell r="F272" t="str">
            <v>MARGEN MEDIO PONDERADO DE Préstamos a tipo fijo:</v>
          </cell>
          <cell r="J272"/>
          <cell r="K272"/>
        </row>
        <row r="273">
          <cell r="D273" t="str">
            <v>WA Interest Rate on Floating rate Loans originated over last quarter prior to the REPORT DATE (e.g. 3.12% or 0.0312):</v>
          </cell>
          <cell r="E273" t="str">
            <v>Gewichteter Durchschnittszins für fest verzinsliche Kredite, die im letzten Quartal vor dem BERICHTSDATUM entstanden (zB 3.12% oder 0.0312):</v>
          </cell>
          <cell r="F273" t="str">
            <v>MARGEN MEDIO PONDERADO DE Préstamos a tipo variable originados en el trimestre anterior a la FECHA DEL INFORME:</v>
          </cell>
          <cell r="J273"/>
          <cell r="K273"/>
        </row>
        <row r="274">
          <cell r="D274" t="str">
            <v>WA MARGIN ON FIXED RATE LOANS originated in last quarter prior to the REPORT DATE (in bps):</v>
          </cell>
          <cell r="E274" t="str">
            <v>GEWICHTETE DURCHSCHNITTLICHE MARGE FÜR FESTVERZINSLICHE KREDITE, die im letzten Quartal vor dem BERICHTSDATUM entstanden (in bps):</v>
          </cell>
          <cell r="F274" t="str">
            <v>MARGEN MEDIO PONDERADO DE Préstamos a tipo fijo en el trimestre anterior a la FECHA DEL INFORME:</v>
          </cell>
          <cell r="J274"/>
          <cell r="K274"/>
        </row>
        <row r="275">
          <cell r="D275" t="str">
            <v>Instructions:</v>
          </cell>
          <cell r="E275" t="str">
            <v>Hinweise:</v>
          </cell>
          <cell r="F275" t="str">
            <v>Instrucciones:</v>
          </cell>
          <cell r="J275"/>
          <cell r="K275"/>
        </row>
        <row r="276">
          <cell r="D276" t="str">
            <v>- MULTIPLE LOANS to the same borrower should be treated as separate loans except for the purpose of LTV calculations (see LOAN BALANCE for more detail). Example: if there are two loans against a property, the first taken for the original purchase and a second made as a further advance (for the purpose of EQUITY RELEASE for instance). Under loan purpose, the first loan should be treated as a purchase and the second as an EQUITY RELEASE.</v>
          </cell>
          <cell r="E276" t="str">
            <v>'- MEHRERE DARLEHEN an den gleichen Darlehensnehmer sollten als verschiedene Darlehen betrachtet werden; ausgenommen für die Berechnung der BELEIHUNGSQUOTE (siehe KREDITSALDO). Beispiel: ist eine Immobilie mit zwei Darlehen beliehen, bezieht sich das erste auf den Kauf und das zweite gilt als weitere Auszahlung.</v>
          </cell>
          <cell r="F276" t="str">
            <v>- PRÉSTAMOS MÚLTIPLES del mismo deudor se deben tratar como préstamos separados excepto para el cálculo del LTV (ver SALDO VIVO DE PRÉSTAMOS para mayor información). Ejemplo: si existen dos préstamos cubiertos por la misma hipoteca sobre la misma propiedad y el propósito del primero es la adquisición y el del segundo es mayor endeudamiento, al clasificar el propósito del préstamo el primero se debe tratar bajo el epígrafe  "adquisición" y el segundo com "mayor endeudamiento", siendo el LTV asignado el mismo para ambos préstamos.</v>
          </cell>
          <cell r="J276"/>
          <cell r="K276"/>
        </row>
        <row r="277">
          <cell r="D277" t="str">
            <v>- Press the "detail data menu" button on this page and then select the level of data input detail you wish to provide by checking the relevant options.</v>
          </cell>
          <cell r="E277" t="str">
            <v>- Klicken Sie auf die Schaltfläche "Detail Data Menu" auf diesem Tabellenblatt und wählen Sie dann aus den entsprechenden Möglichkeiten aus, wie detailliert Sie die Daten eingeben wollen.</v>
          </cell>
          <cell r="F277" t="str">
            <v xml:space="preserve"> Presionar el botón "detail data menu" en esta hoja y seleccionar el nivel de detalle de información que se desea proporcionar marcando las opciones disponibles en el menú</v>
          </cell>
          <cell r="J277"/>
          <cell r="K277"/>
        </row>
        <row r="278">
          <cell r="D278" t="str">
            <v>- LOAN BALANCE refers to the current mortgage balance.  For all LTV calculations, the LTV should be calculated as the LOAN BALANCE plus all prior, equal and subordinated ranking loans secured on the same property, divided by the appropriate property value.</v>
          </cell>
          <cell r="E278" t="str">
            <v xml:space="preserve">- KREDITSALDO bezieht sich auf den gesamten Kreditbetrag. Um die Beleihungsquote eines bestimmten Kredits zu ermitteln, werden alle zudem alle vor-, gleich- und nachrangigen Kreditsalden beruecksichtigt die durch dieselbe Immobilie besichert sind. Dann wird diese Summe durch den Beleihungswert der Immobilie geteilt.   </v>
          </cell>
          <cell r="F278" t="str">
            <v>-El SALDO VIVO DE PRÉSTAMOS se refiere al nominal del préstamo hipotecario. En el cómputo del LTV, éste se debe calcular como la ratio del SALDO VIVO DE LOS PRÉSTAMO más todos los préstamos de mayor, igual o menor rango cubiertos por la misma propiedad, dividido por el valor de tasación de dicha propiedad.</v>
          </cell>
          <cell r="J278"/>
          <cell r="K278"/>
        </row>
        <row r="279">
          <cell r="D279" t="str">
            <v>- The most important category to complete on this page will usually be the LTV Ranges Distribution by unindexed value.</v>
          </cell>
          <cell r="E279" t="str">
            <v>- Besonders wichtig in diesem Tabellenblatt ist die Kategorie Verteilung der BELEIHUNGSQUOTEN nach unindexiertem Wert.</v>
          </cell>
          <cell r="F279" t="str">
            <v>- La categoría más importante a completar en esta hoja es la Distribución por Rangos de LTV no indiciados.</v>
          </cell>
          <cell r="J279"/>
          <cell r="K279"/>
        </row>
        <row r="280">
          <cell r="D280" t="str">
            <v>- WA (weighted average) is weighted according to the related LOAN BALANCE.</v>
          </cell>
          <cell r="E280" t="str">
            <v>- Bei Gewichtungen bitte nach dem KREDITSALDO gewichten, falls nicht anders angegeben.</v>
          </cell>
          <cell r="F280" t="str">
            <v>-La MEDIA PONDERADA se refiere a cualquier ponderación tomando como factor de la misma el SALDO VIVO DE LOS PRÉSTAMOS.</v>
          </cell>
          <cell r="J280"/>
          <cell r="K280"/>
        </row>
        <row r="281">
          <cell r="D281" t="str">
            <v>- Under each category under the "detail data menu" each Loan should only be accounted for once. If in doubt choose the most relevant sub-category only.</v>
          </cell>
          <cell r="E281" t="str">
            <v>- In jeder Kategorie im "Detail Data Menu" ist jeder Kredit nur einmal aufzuführen, im Zweifelsfall  nur in der am besten passenden Unterkategorie.</v>
          </cell>
          <cell r="F281" t="str">
            <v>- En cada epígrafe del menú desplegable "detail data menu", cada Préstamo debería contabilizarse una sola vez. En caso de duda sólo elegir la subcategoría más relevante en la que se pudiera clasificar.</v>
          </cell>
          <cell r="J281"/>
          <cell r="K281"/>
        </row>
        <row r="282">
          <cell r="D282" t="str">
            <v>- Loans related to the same borrower and exceeding 0.5% of the Total LOAN BALANCE across all ASSET TYPES should in addition be included in the "Commercial LbyL" sheet.</v>
          </cell>
          <cell r="E282" t="str">
            <v>- Kredite an einen KREDITNEHMER, die mehr als 0.5% des gesamten KREDITSALDOS für alle TYPEN VON VERMÖGENSWERTEN ausmachen, bitte darüber hinaus im Tabellenblatt "Commercial LbyL" angeben.</v>
          </cell>
          <cell r="F282" t="str">
            <v>- Los préstamos concedidos al mismo deudor hipotecario y que excedan el 0.5% del SALDO VIVO DE PRÉSTAMOS calculado sobre todas las CLASES DE ACTIVOS deben incluirse además en la hoja de Excel "Commercial LbyL".</v>
          </cell>
          <cell r="J282"/>
          <cell r="K282"/>
        </row>
        <row r="283">
          <cell r="D283"/>
          <cell r="E283"/>
          <cell r="F283"/>
          <cell r="J283"/>
          <cell r="K283"/>
        </row>
        <row r="284">
          <cell r="D284" t="str">
            <v>1a. Unindexed LTV Ranges Distribution</v>
          </cell>
          <cell r="E284" t="str">
            <v>1a. Verteilung der unindexierten BELEIHUNGSQUOTEN</v>
          </cell>
          <cell r="F284" t="str">
            <v>1a. Distribución por rangos de LTV no indiciados</v>
          </cell>
          <cell r="J284"/>
          <cell r="K284"/>
        </row>
        <row r="285">
          <cell r="D285" t="str">
            <v>Unindexed LTV ranges</v>
          </cell>
          <cell r="E285" t="str">
            <v>Bandbreiten der unindexierten BELEIHUNGSQUOTEN</v>
          </cell>
          <cell r="F285" t="str">
            <v>Rangos de LTV no indiciados</v>
          </cell>
          <cell r="J285"/>
          <cell r="K285"/>
        </row>
        <row r="286">
          <cell r="D286" t="str">
            <v>Total</v>
          </cell>
          <cell r="E286" t="str">
            <v>Gesamt</v>
          </cell>
          <cell r="F286" t="str">
            <v xml:space="preserve">Total  </v>
          </cell>
          <cell r="J286"/>
          <cell r="K286"/>
        </row>
        <row r="287">
          <cell r="D287" t="str">
            <v>1b. Indexed LTV Ranges Distribution</v>
          </cell>
          <cell r="E287" t="str">
            <v>1b. Verteilung der indexierten BELEIHUNGSQUOTEN</v>
          </cell>
          <cell r="F287" t="str">
            <v>1b. Distribución por rangos de LTV indiciados</v>
          </cell>
          <cell r="J287"/>
          <cell r="K287"/>
        </row>
        <row r="288">
          <cell r="D288" t="str">
            <v>Indexed LTV ranges</v>
          </cell>
          <cell r="E288" t="str">
            <v>Bandbreiten der indexierten BELEIHUNGSQUOTEN</v>
          </cell>
          <cell r="F288" t="str">
            <v>Rangos de LTV indiciados</v>
          </cell>
          <cell r="J288"/>
          <cell r="K288"/>
        </row>
        <row r="289">
          <cell r="D289" t="str">
            <v>Total</v>
          </cell>
          <cell r="E289" t="str">
            <v>Gesamt</v>
          </cell>
          <cell r="F289" t="str">
            <v>Total</v>
          </cell>
          <cell r="J289"/>
          <cell r="K289"/>
        </row>
        <row r="290">
          <cell r="D290" t="str">
            <v>2. SEASONING</v>
          </cell>
          <cell r="E290" t="str">
            <v>2. BISHERIGE LAUFZEIT</v>
          </cell>
          <cell r="F290" t="str">
            <v>2. ANTIGÜEDAD</v>
          </cell>
          <cell r="J290"/>
          <cell r="K290"/>
        </row>
        <row r="291">
          <cell r="D291" t="str">
            <v>(in months)</v>
          </cell>
          <cell r="E291" t="str">
            <v>(in Monaten)</v>
          </cell>
          <cell r="F291" t="str">
            <v>(en meses)</v>
          </cell>
          <cell r="J291"/>
          <cell r="K291"/>
        </row>
        <row r="292">
          <cell r="D292" t="str">
            <v>3. Property Type</v>
          </cell>
          <cell r="E292" t="str">
            <v>3. Immobilientyp</v>
          </cell>
          <cell r="F292" t="str">
            <v>3. Tipo de Propiedad</v>
          </cell>
          <cell r="J292"/>
          <cell r="K292"/>
        </row>
        <row r="293">
          <cell r="D293" t="str">
            <v>House</v>
          </cell>
          <cell r="E293" t="str">
            <v>Haus</v>
          </cell>
          <cell r="F293" t="str">
            <v>Chalé</v>
          </cell>
          <cell r="J293"/>
          <cell r="K293"/>
        </row>
        <row r="294">
          <cell r="D294" t="str">
            <v>Flat in block with less than 4 units</v>
          </cell>
          <cell r="E294" t="str">
            <v>Wohnung in einem Haus mit weniger als 4 Wohnungen</v>
          </cell>
          <cell r="F294" t="str">
            <v>Apartamento en vivienda de menos de 4 unidades</v>
          </cell>
          <cell r="J294"/>
          <cell r="K294"/>
        </row>
        <row r="295">
          <cell r="D295" t="str">
            <v>Flat in block with 4 or more units</v>
          </cell>
          <cell r="E295" t="str">
            <v>Wohnung in einem Haus mit 4 oder mehr Wohnungen</v>
          </cell>
          <cell r="F295" t="str">
            <v>Apartamento en vivienda con más de 4 unidades</v>
          </cell>
          <cell r="J295"/>
          <cell r="K295"/>
        </row>
        <row r="296">
          <cell r="D296" t="str">
            <v>PARTIAL COMMERCIAL USE</v>
          </cell>
          <cell r="E296" t="str">
            <v>TEILWEISE GEWERBLICHE NUTZUNG</v>
          </cell>
          <cell r="F296" t="str">
            <v>USO COMERCIAL PARCIAL</v>
          </cell>
          <cell r="J296"/>
          <cell r="K296"/>
        </row>
        <row r="297">
          <cell r="D297" t="str">
            <v>Other/No data</v>
          </cell>
          <cell r="E297" t="str">
            <v>Sonstiges/Keine Angaben</v>
          </cell>
          <cell r="F297" t="str">
            <v>Otro/No Disponible</v>
          </cell>
          <cell r="J297"/>
          <cell r="K297"/>
        </row>
        <row r="298">
          <cell r="D298" t="str">
            <v>Total</v>
          </cell>
          <cell r="E298" t="str">
            <v>Gesamt</v>
          </cell>
          <cell r="F298" t="str">
            <v>Total</v>
          </cell>
          <cell r="J298"/>
          <cell r="K298"/>
        </row>
        <row r="299">
          <cell r="D299" t="str">
            <v>4. Occupancy Type</v>
          </cell>
          <cell r="E299" t="str">
            <v>4. Art der Nutzung</v>
          </cell>
          <cell r="F299" t="str">
            <v>4. Tipo de Ocupación</v>
          </cell>
          <cell r="J299"/>
          <cell r="K299"/>
        </row>
        <row r="300">
          <cell r="D300" t="str">
            <v>Owner-occupied</v>
          </cell>
          <cell r="E300" t="str">
            <v>Eigennutzung</v>
          </cell>
          <cell r="F300" t="str">
            <v>Vivienda del propietario</v>
          </cell>
          <cell r="J300"/>
          <cell r="K300"/>
        </row>
        <row r="301">
          <cell r="D301" t="str">
            <v>Non-owner-occupied (buy-to-let) where BORROWER has &lt; 3 properties</v>
          </cell>
          <cell r="E301" t="str">
            <v>Keine Eigennutzung (Vermietung); KREDITNEHMER verfügt über &lt; 3 Immobilien</v>
          </cell>
          <cell r="F301" t="str">
            <v>Alquiler - si el deudor tiene menos de tres inmuebles</v>
          </cell>
          <cell r="J301"/>
          <cell r="K301"/>
        </row>
        <row r="302">
          <cell r="D302" t="str">
            <v>Non-owner-occupied (buy-to-let) where BORROWER has &gt; 2 properties</v>
          </cell>
          <cell r="E302" t="str">
            <v>Keine Eigennutzung (Vermietung); KREDITNEHMER verfügt über &gt;2 Immobilien</v>
          </cell>
          <cell r="F302" t="str">
            <v>Alquiler - si el deudor tiene más de tres inmuebles</v>
          </cell>
          <cell r="J302"/>
          <cell r="K302"/>
        </row>
        <row r="303">
          <cell r="D303" t="str">
            <v>Vacation/ second home</v>
          </cell>
          <cell r="E303" t="str">
            <v>Ferienhaus/Zweitwohnsitz</v>
          </cell>
          <cell r="F303" t="str">
            <v>Segunda vivienda/uso vacacional</v>
          </cell>
          <cell r="J303"/>
          <cell r="K303"/>
        </row>
        <row r="304">
          <cell r="D304" t="str">
            <v>Partially owner-occupied</v>
          </cell>
          <cell r="E304" t="str">
            <v>Teilweise Eigennutzung</v>
          </cell>
          <cell r="F304" t="str">
            <v>Parcialmente ocupado por el propietario</v>
          </cell>
          <cell r="J304"/>
          <cell r="K304"/>
        </row>
        <row r="305">
          <cell r="D305" t="str">
            <v>Other/No data</v>
          </cell>
          <cell r="E305" t="str">
            <v>Sonstiges/Keine Angaben</v>
          </cell>
          <cell r="F305" t="str">
            <v>Otro/No Disponible</v>
          </cell>
          <cell r="J305"/>
          <cell r="K305"/>
        </row>
        <row r="306">
          <cell r="D306" t="str">
            <v>Total</v>
          </cell>
          <cell r="E306" t="str">
            <v>Gesamt</v>
          </cell>
          <cell r="F306" t="str">
            <v>Total</v>
          </cell>
          <cell r="J306"/>
          <cell r="K306"/>
        </row>
        <row r="307">
          <cell r="D307" t="str">
            <v>5. Loan Purpose</v>
          </cell>
          <cell r="E307" t="str">
            <v>5. Zweck des Kredits</v>
          </cell>
          <cell r="F307" t="str">
            <v>5. Propósito del Préstamo</v>
          </cell>
          <cell r="J307"/>
          <cell r="K307"/>
        </row>
        <row r="308">
          <cell r="D308" t="str">
            <v>Purchase</v>
          </cell>
          <cell r="E308" t="str">
            <v>Kauf</v>
          </cell>
          <cell r="F308" t="str">
            <v>Adquisición</v>
          </cell>
          <cell r="J308"/>
          <cell r="K308"/>
        </row>
        <row r="309">
          <cell r="D309" t="str">
            <v>RE-MORTGAGE</v>
          </cell>
          <cell r="E309" t="str">
            <v>UMSCHULDUNG DER HYPOTHEK</v>
          </cell>
          <cell r="F309" t="str">
            <v>SUBROGACIÓN</v>
          </cell>
          <cell r="J309"/>
          <cell r="K309"/>
        </row>
        <row r="310">
          <cell r="D310" t="str">
            <v>EQUITY RELEASE</v>
          </cell>
          <cell r="E310" t="str">
            <v>Verbraucherkredit gegen Hypothek</v>
          </cell>
          <cell r="F310" t="str">
            <v>MAYOR ENDEUDAMIENTO</v>
          </cell>
          <cell r="J310"/>
          <cell r="K310"/>
        </row>
        <row r="311">
          <cell r="D311" t="str">
            <v>RENOVATION</v>
          </cell>
          <cell r="E311" t="str">
            <v>RENOVIERUNG</v>
          </cell>
          <cell r="F311" t="str">
            <v>Rehabilitación o renovación</v>
          </cell>
          <cell r="J311"/>
          <cell r="K311"/>
        </row>
        <row r="312">
          <cell r="D312" t="str">
            <v>Construction (new)</v>
          </cell>
          <cell r="E312" t="str">
            <v>Neubau</v>
          </cell>
          <cell r="F312" t="str">
            <v>Nueva construcción (no promotor)</v>
          </cell>
          <cell r="J312"/>
          <cell r="K312"/>
        </row>
        <row r="313">
          <cell r="D313" t="str">
            <v>Other/No data</v>
          </cell>
          <cell r="E313" t="str">
            <v>Sonstiges/Keine Angaben</v>
          </cell>
          <cell r="F313" t="str">
            <v>Otro/No Disponible</v>
          </cell>
          <cell r="J313"/>
          <cell r="K313"/>
        </row>
        <row r="314">
          <cell r="D314" t="str">
            <v>Total</v>
          </cell>
          <cell r="E314" t="str">
            <v>Gesamt</v>
          </cell>
          <cell r="F314" t="str">
            <v>Total</v>
          </cell>
          <cell r="J314"/>
          <cell r="K314"/>
        </row>
        <row r="315">
          <cell r="D315" t="str">
            <v>6. Interest Payment Frequency</v>
          </cell>
          <cell r="E315" t="str">
            <v>6. Zinszahlungen</v>
          </cell>
          <cell r="F315" t="str">
            <v>6. Frecuencia del pago de intereses</v>
          </cell>
          <cell r="J315"/>
          <cell r="K315"/>
        </row>
        <row r="316">
          <cell r="D316" t="str">
            <v>BULLET</v>
          </cell>
          <cell r="E316" t="str">
            <v>ENDFÄLLIGKEIT</v>
          </cell>
          <cell r="F316" t="str">
            <v>BULLET</v>
          </cell>
          <cell r="J316"/>
          <cell r="K316"/>
        </row>
        <row r="317">
          <cell r="D317" t="str">
            <v>Monthly</v>
          </cell>
          <cell r="E317" t="str">
            <v>Monatlich</v>
          </cell>
          <cell r="F317" t="str">
            <v>Mensual</v>
          </cell>
          <cell r="J317"/>
          <cell r="K317"/>
        </row>
        <row r="318">
          <cell r="D318" t="str">
            <v>Quarterly</v>
          </cell>
          <cell r="E318" t="str">
            <v>Vierteljährlich</v>
          </cell>
          <cell r="F318" t="str">
            <v>Trimestral</v>
          </cell>
          <cell r="J318"/>
          <cell r="K318"/>
        </row>
        <row r="319">
          <cell r="D319" t="str">
            <v>Semi-annually</v>
          </cell>
          <cell r="E319" t="str">
            <v>Halbjährlich</v>
          </cell>
          <cell r="F319" t="str">
            <v>Semestral</v>
          </cell>
          <cell r="J319"/>
          <cell r="K319"/>
        </row>
        <row r="320">
          <cell r="D320" t="str">
            <v>Annually</v>
          </cell>
          <cell r="E320" t="str">
            <v>Jährlich</v>
          </cell>
          <cell r="F320" t="str">
            <v>Anual</v>
          </cell>
          <cell r="J320"/>
          <cell r="K320"/>
        </row>
        <row r="321">
          <cell r="D321" t="str">
            <v>Other</v>
          </cell>
          <cell r="E321" t="str">
            <v>Sonstiges</v>
          </cell>
          <cell r="F321" t="str">
            <v>Otra</v>
          </cell>
          <cell r="J321"/>
          <cell r="K321"/>
        </row>
        <row r="322">
          <cell r="D322" t="str">
            <v>7. Principal Payment Frequency</v>
          </cell>
          <cell r="E322" t="str">
            <v>7. Tilgungszahlungen</v>
          </cell>
          <cell r="F322" t="str">
            <v>7. Frecuencia del pago de principal</v>
          </cell>
          <cell r="J322"/>
          <cell r="K322"/>
        </row>
        <row r="323">
          <cell r="D323" t="str">
            <v>Monthly</v>
          </cell>
          <cell r="E323" t="str">
            <v>Monatlich</v>
          </cell>
          <cell r="F323" t="str">
            <v>Mensual</v>
          </cell>
          <cell r="J323"/>
          <cell r="K323"/>
        </row>
        <row r="324">
          <cell r="D324" t="str">
            <v>Quarterly / Semi-annually</v>
          </cell>
          <cell r="E324" t="str">
            <v>Vierteljährlich / Halbjährlich</v>
          </cell>
          <cell r="F324" t="str">
            <v>Trimestral</v>
          </cell>
          <cell r="J324"/>
          <cell r="K324"/>
        </row>
        <row r="325">
          <cell r="D325" t="str">
            <v>Annually</v>
          </cell>
          <cell r="E325" t="str">
            <v>Jährlich</v>
          </cell>
          <cell r="F325" t="str">
            <v>Anual</v>
          </cell>
          <cell r="J325"/>
          <cell r="K325"/>
        </row>
        <row r="326">
          <cell r="D326" t="str">
            <v>BULLET</v>
          </cell>
          <cell r="E326" t="str">
            <v>Endfällig</v>
          </cell>
          <cell r="F326" t="str">
            <v>BULLET</v>
          </cell>
          <cell r="J326"/>
          <cell r="K326"/>
        </row>
        <row r="327">
          <cell r="D327" t="str">
            <v>Other</v>
          </cell>
          <cell r="E327" t="str">
            <v>Sonstiges</v>
          </cell>
          <cell r="F327" t="str">
            <v>Otra</v>
          </cell>
          <cell r="J327"/>
          <cell r="K327"/>
        </row>
        <row r="328">
          <cell r="D328" t="str">
            <v>Total</v>
          </cell>
          <cell r="E328" t="str">
            <v>Gesamt</v>
          </cell>
          <cell r="F328" t="str">
            <v>Total</v>
          </cell>
          <cell r="J328"/>
          <cell r="K328"/>
        </row>
        <row r="329">
          <cell r="D329" t="str">
            <v>8. INTEREST RATE TYPE</v>
          </cell>
          <cell r="E329" t="str">
            <v>8. ZINSTYP</v>
          </cell>
          <cell r="F329" t="str">
            <v>8. Clase de Tipo de Interés</v>
          </cell>
          <cell r="J329"/>
          <cell r="K329"/>
        </row>
        <row r="330">
          <cell r="D330" t="str">
            <v>Floating rate</v>
          </cell>
          <cell r="E330" t="str">
            <v>Variabel verzinslich</v>
          </cell>
          <cell r="F330" t="str">
            <v>Variable</v>
          </cell>
          <cell r="J330"/>
          <cell r="K330"/>
        </row>
        <row r="331">
          <cell r="D331" t="str">
            <v>Fixed rate with reset &lt;2 years</v>
          </cell>
          <cell r="E331" t="str">
            <v>Fest verzinslich; Zinsanpassung nach &lt;2 Jahren</v>
          </cell>
          <cell r="F331" t="str">
            <v>Fijo cambiando a variable &lt; 2 años</v>
          </cell>
          <cell r="J331"/>
          <cell r="K331"/>
        </row>
        <row r="332">
          <cell r="D332" t="str">
            <v>Fixed rate with reset  ≥2 but &lt; 5 years</v>
          </cell>
          <cell r="E332" t="str">
            <v>Fest verzinslich; Zinsanpassung nach &gt;2 aber &lt; 5 Jahren</v>
          </cell>
          <cell r="F332" t="str">
            <v>Fijo cambiando a variable ≥ 2 años y &lt; 5años</v>
          </cell>
          <cell r="J332"/>
          <cell r="K332"/>
        </row>
        <row r="333">
          <cell r="D333" t="str">
            <v>Fixed rate with reset ≥5 years</v>
          </cell>
          <cell r="E333" t="str">
            <v>Fest verzinslich; Zinsanpassung nach &gt;5 Jahren</v>
          </cell>
          <cell r="F333" t="str">
            <v>Fijo o fijo con variable a ≥ 5 años</v>
          </cell>
          <cell r="J333"/>
          <cell r="K333"/>
        </row>
        <row r="334">
          <cell r="D334" t="str">
            <v>Total</v>
          </cell>
          <cell r="E334" t="str">
            <v>Gesamt</v>
          </cell>
          <cell r="F334" t="str">
            <v>Total</v>
          </cell>
          <cell r="J334"/>
          <cell r="K334"/>
        </row>
        <row r="335">
          <cell r="D335" t="str">
            <v>9. Employment type</v>
          </cell>
          <cell r="E335" t="str">
            <v>9. Berufliche Stellung</v>
          </cell>
          <cell r="F335" t="str">
            <v>9. Tipo de ocupación del deudor</v>
          </cell>
          <cell r="J335"/>
          <cell r="K335"/>
        </row>
        <row r="336">
          <cell r="D336" t="str">
            <v>Employed</v>
          </cell>
          <cell r="E336" t="str">
            <v>Angestellter</v>
          </cell>
          <cell r="F336" t="str">
            <v>Empleado por cuenta ajena</v>
          </cell>
          <cell r="J336"/>
          <cell r="K336"/>
        </row>
        <row r="337">
          <cell r="D337" t="str">
            <v>Protected life-time employment</v>
          </cell>
          <cell r="E337" t="str">
            <v>Sichere Anstellung auf Lebenszeit</v>
          </cell>
          <cell r="F337" t="str">
            <v>Funcionario</v>
          </cell>
          <cell r="J337"/>
          <cell r="K337"/>
        </row>
        <row r="338">
          <cell r="D338" t="str">
            <v>SELF-EMPLOYED</v>
          </cell>
          <cell r="E338" t="str">
            <v>SELBSTÄNDIG</v>
          </cell>
          <cell r="F338" t="str">
            <v>AUTÓNOMO</v>
          </cell>
          <cell r="J338"/>
          <cell r="K338"/>
        </row>
        <row r="339">
          <cell r="D339" t="str">
            <v>Unemployed</v>
          </cell>
          <cell r="E339" t="str">
            <v>Arbeitslos</v>
          </cell>
          <cell r="F339" t="str">
            <v>Desempleado</v>
          </cell>
          <cell r="J339"/>
          <cell r="K339"/>
        </row>
        <row r="340">
          <cell r="D340" t="str">
            <v>Other/No data</v>
          </cell>
          <cell r="E340" t="str">
            <v>Sonstiges/Keine Angaben</v>
          </cell>
          <cell r="F340" t="str">
            <v>Otro/No Disponible</v>
          </cell>
          <cell r="J340"/>
          <cell r="K340"/>
        </row>
        <row r="341">
          <cell r="D341" t="str">
            <v>Total</v>
          </cell>
          <cell r="E341" t="str">
            <v>Gesamt</v>
          </cell>
          <cell r="F341" t="str">
            <v>Total</v>
          </cell>
          <cell r="J341"/>
          <cell r="K341"/>
        </row>
        <row r="342">
          <cell r="D342" t="str">
            <v xml:space="preserve">10. Adverse Credit History/Non-Conforming </v>
          </cell>
          <cell r="E342" t="str">
            <v>10. Schlechte Kredithistorie/Zahlungsausfälle</v>
          </cell>
          <cell r="F342" t="str">
            <v>10. Historial de Crédito del Deudor/Non-Conforming</v>
          </cell>
          <cell r="J342"/>
          <cell r="K342"/>
        </row>
        <row r="343">
          <cell r="D343" t="str">
            <v>LIMITED INCOME VERIFICATION</v>
          </cell>
          <cell r="E343" t="str">
            <v>EINGESCHRÄNKTE EINKOMMENSPRÜFUNG</v>
          </cell>
          <cell r="F343" t="str">
            <v>Verificación limitada de ingresos</v>
          </cell>
          <cell r="J343"/>
          <cell r="K343"/>
        </row>
        <row r="344">
          <cell r="D344" t="str">
            <v>MISSED PAYMENTS ON PREV. MORTGAGES ≥ 2 CONSECUTIVE PAYMENT (medium risk)</v>
          </cell>
          <cell r="E344" t="str">
            <v>ZAHLUNGSAUSFÄLLE BEI FRÜHEREN HYPOTHEKEN ≥ 2 AUFEINANDERFOLGENDE ZAHLUNGE (mittleres Risiko)</v>
          </cell>
          <cell r="F344" t="str">
            <v>IMPAGOS EN HIPOTECAS ANTERIORES ≥ 2 IMPAGOS CONSECUTIVOS (riesgo medio)</v>
          </cell>
          <cell r="J344"/>
          <cell r="K344"/>
        </row>
        <row r="345">
          <cell r="D345" t="str">
            <v>SERIOUS ADVERSE CREDIT HISTORY (high risk)</v>
          </cell>
          <cell r="E345" t="str">
            <v>ERNSTHAFT SCHLECHTE KREDITHISTORIE (hohes Risiko)</v>
          </cell>
          <cell r="F345" t="str">
            <v>HISTORIAL CREDITICIO ADVERSO (riesgo alto)</v>
          </cell>
          <cell r="J345"/>
          <cell r="K345"/>
        </row>
        <row r="346">
          <cell r="D346"/>
          <cell r="E346"/>
          <cell r="F346"/>
          <cell r="J346"/>
          <cell r="K346"/>
        </row>
        <row r="347">
          <cell r="D347" t="str">
            <v>PRIOR PERSONAL BANKRUPTCY (very high risk)</v>
          </cell>
          <cell r="E347" t="str">
            <v>VORHERGEHENDER PERSÖNLICHER KONKURS (sehr hohes Risiko)</v>
          </cell>
          <cell r="F347" t="str">
            <v>EJECUCIÓN JUDICIAL PASADA (muy alto riesgo)</v>
          </cell>
          <cell r="K347"/>
        </row>
        <row r="348">
          <cell r="D348" t="str">
            <v>RIGHT-TO-BUY</v>
          </cell>
          <cell r="E348" t="str">
            <v>VORKAUFRECHT</v>
          </cell>
          <cell r="F348" t="str">
            <v>Vivienda de protección oficial o precio subsidiado</v>
          </cell>
          <cell r="K348"/>
        </row>
        <row r="349">
          <cell r="D349" t="str">
            <v>Total</v>
          </cell>
          <cell r="E349" t="str">
            <v>Gesamt</v>
          </cell>
          <cell r="F349" t="str">
            <v>Total</v>
          </cell>
          <cell r="K349"/>
        </row>
        <row r="350">
          <cell r="D350" t="str">
            <v xml:space="preserve">11. LOANS IN ARREARS </v>
          </cell>
          <cell r="E350" t="str">
            <v>11. RÜCKSTÄNDIGE KREDITE</v>
          </cell>
          <cell r="F350" t="str">
            <v>11. MOROSIDAD</v>
          </cell>
          <cell r="K350"/>
        </row>
        <row r="351">
          <cell r="D351" t="str">
            <v>Months</v>
          </cell>
          <cell r="E351" t="str">
            <v>Monate</v>
          </cell>
          <cell r="F351" t="str">
            <v>Meses</v>
          </cell>
          <cell r="K351"/>
        </row>
        <row r="352">
          <cell r="D352" t="str">
            <v>&lt;2 (and not BPI or Fce)</v>
          </cell>
          <cell r="E352" t="str">
            <v>&lt;2 (keine Einleitung eines Konkursverfahrens bzw. Zwangsvollstreckung)</v>
          </cell>
          <cell r="F352" t="str">
            <v xml:space="preserve"> ≤2 (y no se ha iniciado PLR o ejecución)</v>
          </cell>
          <cell r="K352"/>
        </row>
        <row r="353">
          <cell r="D353" t="str">
            <v>≥2-&lt;6 (and not BPI or Fce)</v>
          </cell>
          <cell r="E353" t="str">
            <v>≥2-&lt;6 (keine Einleitung eines Konkursverfahrens bzw. Zwangsvollstreckung)</v>
          </cell>
          <cell r="F353" t="str">
            <v xml:space="preserve"> ≥2-&lt;6 (y no se ha iniciado PLR o ejecución)</v>
          </cell>
          <cell r="K353"/>
        </row>
        <row r="354">
          <cell r="D354" t="str">
            <v>≥6-&lt;12 (and not BPI or Fce)</v>
          </cell>
          <cell r="E354" t="str">
            <v>≥6-&lt;12 (keine Einleitung eines Konkursverfahrens bzw. Zwangsvollstreckung)</v>
          </cell>
          <cell r="F354" t="str">
            <v xml:space="preserve"> ≥6-&lt;12 (y no se ha iniciado PLR o ejecución)</v>
          </cell>
          <cell r="K354"/>
        </row>
        <row r="355">
          <cell r="D355" t="str">
            <v>&gt;12 (and not BPI or Fce)</v>
          </cell>
          <cell r="E355" t="str">
            <v>&gt;12 (keine Einleitung eines Konkursverfahrens oder Zwangsvollstreckung)</v>
          </cell>
          <cell r="F355" t="str">
            <v xml:space="preserve"> ≥12 (y no se ha iniciado PLR o ejecución)</v>
          </cell>
          <cell r="K355"/>
        </row>
        <row r="356">
          <cell r="D356" t="str">
            <v>Bankruptcy proceedings initialted ("BPI") (and not Fce)</v>
          </cell>
          <cell r="E356" t="str">
            <v>Einleitung eines Konkursverfahrens (keine Zwangsvollstreckung)</v>
          </cell>
          <cell r="F356" t="str">
            <v>se ha iniciado proceso legal recuperatorio ("PLR") (y no ejecución)</v>
          </cell>
          <cell r="K356"/>
        </row>
        <row r="357">
          <cell r="D357" t="str">
            <v>Foreclosure ("Fce")</v>
          </cell>
          <cell r="E357" t="str">
            <v>Zwangsvollstreckung</v>
          </cell>
          <cell r="F357" t="str">
            <v>En Ejecución</v>
          </cell>
          <cell r="K357"/>
        </row>
        <row r="358">
          <cell r="D358" t="str">
            <v>Total</v>
          </cell>
          <cell r="E358" t="str">
            <v>Gesamt</v>
          </cell>
          <cell r="F358" t="str">
            <v>Total</v>
          </cell>
          <cell r="K358"/>
        </row>
        <row r="359">
          <cell r="D359" t="str">
            <v>12. PRIOR RANKS</v>
          </cell>
          <cell r="E359" t="str">
            <v>12. VORRANGIGE VERBINDLICHKEITEN</v>
          </cell>
          <cell r="F359" t="str">
            <v>12. RANGOS SUPERIORES</v>
          </cell>
          <cell r="K359"/>
        </row>
        <row r="360">
          <cell r="D360" t="str">
            <v xml:space="preserve">No PRIOR RANKS </v>
          </cell>
          <cell r="E360" t="str">
            <v>Keine vorrangigen Verbindlichkeiten</v>
          </cell>
          <cell r="F360" t="str">
            <v>No Rangos Superiores</v>
          </cell>
          <cell r="K360"/>
        </row>
        <row r="361">
          <cell r="D361" t="str">
            <v>PRIOR RANKS (total)</v>
          </cell>
          <cell r="E361" t="str">
            <v>VORRANGIGE VERBINDLICHKEITEN (gesamt)</v>
          </cell>
          <cell r="F361" t="str">
            <v>TOTAL DE RANGOS SUPERIORES</v>
          </cell>
          <cell r="K361"/>
        </row>
        <row r="362">
          <cell r="D362" t="str">
            <v>PRIOR RANKS &lt;25% LOAN BALANCE</v>
          </cell>
          <cell r="E362" t="str">
            <v>VORRANGIGE VERBINDLICHKEITEN &lt;25% des KREDITSALDOS</v>
          </cell>
          <cell r="F362" t="str">
            <v>RANGOS SUPERIORES &lt;25% del SALDO VIVO DE PRÉSTAMOS</v>
          </cell>
          <cell r="J362"/>
          <cell r="K362"/>
        </row>
        <row r="363">
          <cell r="D363" t="str">
            <v>PRIOR RANKS ≥25%-&lt;50% LOAN BALANCE</v>
          </cell>
          <cell r="E363" t="str">
            <v>VORRANGIGE VERBINDLICHKEITEN ≥25%-&lt;50% des KREDITSALDOS</v>
          </cell>
          <cell r="F363" t="str">
            <v>RANGOS SUPERIORES ≥25%-&lt;50% del SALDO VIVO DE PRÉSTAMOS</v>
          </cell>
          <cell r="J363"/>
          <cell r="K363"/>
        </row>
        <row r="364">
          <cell r="D364" t="str">
            <v>PRIOR RANKS ≥50%-&lt;75% LOAN BALANCE</v>
          </cell>
          <cell r="E364" t="str">
            <v>VORRANGIGE VERBINDLICHKEITEN ≥50%-&lt;75% des KREDITSALDOS</v>
          </cell>
          <cell r="F364" t="str">
            <v>RANGOS SUPERIORES ≥50%-&lt;75% del SALDO VIVO DE PRÉSTAMOS</v>
          </cell>
          <cell r="J364"/>
          <cell r="K364"/>
        </row>
        <row r="365">
          <cell r="D365" t="str">
            <v>PRIOR RANKS &gt;75% LOAN BALANCE</v>
          </cell>
          <cell r="E365" t="str">
            <v>VORRANGIGE VERBINDLICHKEITEN &gt;75% des KREDITSALDOS</v>
          </cell>
          <cell r="F365" t="str">
            <v>RANGOS SUPERIORES &gt;75% del SALDO VIVO DE PRÉSTAMOS</v>
          </cell>
          <cell r="J365"/>
          <cell r="K365"/>
        </row>
        <row r="366">
          <cell r="D366" t="str">
            <v>Total</v>
          </cell>
          <cell r="E366" t="str">
            <v>Gesamt</v>
          </cell>
          <cell r="F366" t="str">
            <v>Total</v>
          </cell>
          <cell r="J366"/>
          <cell r="K366"/>
        </row>
        <row r="367">
          <cell r="D367" t="str">
            <v>13. PROVISIONED LOANS</v>
          </cell>
          <cell r="E367" t="str">
            <v>13. KREDITE MIT RÜCKSTELLUNGEN</v>
          </cell>
          <cell r="F367" t="str">
            <v>13. PROVISIONES</v>
          </cell>
          <cell r="J367"/>
          <cell r="K367"/>
        </row>
        <row r="368">
          <cell r="D368" t="str">
            <v>No provisioning</v>
          </cell>
          <cell r="E368" t="str">
            <v>Keine Rückstellungen</v>
          </cell>
          <cell r="F368" t="str">
            <v>Sin provisionar</v>
          </cell>
          <cell r="J368"/>
          <cell r="K368"/>
        </row>
        <row r="369">
          <cell r="D369" t="str">
            <v>PARTIAL PROVISIONING</v>
          </cell>
          <cell r="E369" t="str">
            <v>TEILWEISE RÜCKSTELLUNGEN</v>
          </cell>
          <cell r="F369" t="str">
            <v>PROVISIÓN PARCIAL</v>
          </cell>
          <cell r="J369"/>
          <cell r="K369"/>
        </row>
        <row r="370">
          <cell r="D370" t="str">
            <v>FULL PROVISIONING</v>
          </cell>
          <cell r="E370" t="str">
            <v>VOLLSTÄNDIGE RÜCKSTELLUNGEN</v>
          </cell>
          <cell r="F370" t="str">
            <v>PROVISIÓN TOTAL</v>
          </cell>
          <cell r="J370"/>
          <cell r="K370"/>
        </row>
        <row r="371">
          <cell r="D371" t="str">
            <v>Total</v>
          </cell>
          <cell r="E371" t="str">
            <v>Gesamt</v>
          </cell>
          <cell r="F371" t="str">
            <v>Total</v>
          </cell>
          <cell r="J371"/>
          <cell r="K371"/>
        </row>
        <row r="372">
          <cell r="D372" t="str">
            <v>14. Regions</v>
          </cell>
          <cell r="E372" t="str">
            <v>14. Regionen</v>
          </cell>
          <cell r="F372" t="str">
            <v>14. COMUNIDADES AUTONOMAS</v>
          </cell>
          <cell r="J372"/>
          <cell r="K372"/>
        </row>
        <row r="373">
          <cell r="D373" t="str">
            <v>Total</v>
          </cell>
          <cell r="E373" t="str">
            <v>Gesamt</v>
          </cell>
          <cell r="F373" t="str">
            <v>Total</v>
          </cell>
          <cell r="J373"/>
          <cell r="K373"/>
        </row>
        <row r="374">
          <cell r="D374"/>
          <cell r="E374"/>
          <cell r="F374"/>
          <cell r="H374"/>
          <cell r="I374"/>
          <cell r="J374"/>
          <cell r="K374"/>
        </row>
        <row r="375">
          <cell r="D375" t="str">
            <v>Commercial Data Template</v>
          </cell>
          <cell r="E375" t="str">
            <v>Datenvorlage zu Hypotheken für gewerblich genutzte Immobilien</v>
          </cell>
          <cell r="F375" t="str">
            <v>INFORMACIÓN CARTERA COMERCIAL</v>
          </cell>
          <cell r="J375"/>
          <cell r="K375"/>
        </row>
        <row r="376">
          <cell r="D376"/>
          <cell r="E376"/>
          <cell r="J376"/>
          <cell r="K376"/>
        </row>
        <row r="377">
          <cell r="D377" t="str">
            <v>Overview Data</v>
          </cell>
          <cell r="E377" t="str">
            <v>Datenüberblick</v>
          </cell>
          <cell r="F377" t="str">
            <v>Resumen de Información</v>
          </cell>
          <cell r="J377"/>
          <cell r="K377"/>
        </row>
        <row r="378">
          <cell r="D378" t="str">
            <v>Main Country</v>
          </cell>
          <cell r="E378" t="str">
            <v>Hauptland</v>
          </cell>
          <cell r="F378" t="str">
            <v>País principal</v>
          </cell>
          <cell r="J378"/>
          <cell r="K378"/>
        </row>
        <row r="379">
          <cell r="D379" t="str">
            <v>Total LOAN BALANCE:</v>
          </cell>
          <cell r="E379" t="str">
            <v>Gesamter KREDITSALDO:</v>
          </cell>
          <cell r="F379" t="str">
            <v>Total SALDO VIVO DE PRÉSTAMOS:</v>
          </cell>
          <cell r="J379"/>
          <cell r="K379"/>
        </row>
        <row r="380">
          <cell r="D380" t="str">
            <v>WA LOAN BALANCE:</v>
          </cell>
          <cell r="E380" t="str">
            <v>GEWICHTETER DURCHSCHNITTLICHER KREDITSALDO</v>
          </cell>
          <cell r="F380" t="str">
            <v>MEDIA PONDERADA del SALDO VIVO</v>
          </cell>
          <cell r="J380"/>
          <cell r="K380"/>
        </row>
        <row r="381">
          <cell r="D381"/>
          <cell r="E381"/>
          <cell r="F381"/>
          <cell r="J381"/>
          <cell r="K381"/>
        </row>
        <row r="382">
          <cell r="D382" t="str">
            <v>WA SEASONING (in months):</v>
          </cell>
          <cell r="E382" t="str">
            <v>Gewichtete durchschnittliche BISHERIGE LAUFZEIT (in Monaten):</v>
          </cell>
          <cell r="F382" t="str">
            <v>ANTIGÜEDAD MEDIA PONDERADA (en meses):</v>
          </cell>
          <cell r="J382"/>
          <cell r="K382"/>
        </row>
        <row r="383">
          <cell r="D383" t="str">
            <v>WA REMAINING TERM (in months):</v>
          </cell>
          <cell r="E383" t="str">
            <v>Gewichtete durchschnittliche Restlaufzeit (in Monaten):</v>
          </cell>
          <cell r="F383" t="str">
            <v>PLAZO DE VIDA MEDIA PONDERADA (en meses):</v>
          </cell>
          <cell r="J383"/>
          <cell r="K383"/>
        </row>
        <row r="384">
          <cell r="D384" t="str">
            <v>NO. OF BORROWERS:</v>
          </cell>
          <cell r="E384" t="str">
            <v>ZAHL DER KREDITNEHMER:</v>
          </cell>
          <cell r="F384" t="str">
            <v>Nº. DE DEUDORES:</v>
          </cell>
          <cell r="J384"/>
          <cell r="K384"/>
        </row>
        <row r="385">
          <cell r="D385" t="str">
            <v>NO. OF LOANS:</v>
          </cell>
          <cell r="E385" t="str">
            <v>ZAHL DER KREDITE:</v>
          </cell>
          <cell r="F385" t="str">
            <v>Nº. DE PRÉSTAMOS</v>
          </cell>
          <cell r="J385"/>
          <cell r="K385"/>
        </row>
        <row r="386">
          <cell r="D386" t="str">
            <v>NO. OF PROPERTIES:</v>
          </cell>
          <cell r="E386" t="str">
            <v>ZAHL DER IMMOBILIEN:</v>
          </cell>
          <cell r="F386" t="str">
            <v>Nº. DE PROPIEDADES:</v>
          </cell>
          <cell r="J386"/>
          <cell r="K386"/>
        </row>
        <row r="387">
          <cell r="D387"/>
          <cell r="E387"/>
          <cell r="F387"/>
          <cell r="J387"/>
          <cell r="K387"/>
        </row>
        <row r="388">
          <cell r="D388" t="str">
            <v>WA DSCR (e.g. 2.1)</v>
          </cell>
          <cell r="E388" t="str">
            <v>Gewichtete durchschnittliche SCHULDENDIENSTDECKUNGSQUOTE (z.B. 2.1):</v>
          </cell>
          <cell r="F388" t="str">
            <v>DSCR MEDIO PONDERADO:</v>
          </cell>
          <cell r="J388"/>
          <cell r="K388"/>
        </row>
        <row r="389">
          <cell r="D389"/>
          <cell r="E389"/>
          <cell r="F389"/>
          <cell r="J389"/>
          <cell r="K389"/>
        </row>
        <row r="390">
          <cell r="D390" t="str">
            <v>WA LTV (e.g. 89.7% or 0.897):</v>
          </cell>
          <cell r="E390" t="str">
            <v>Gewichtete durchschnittliche BELEIHUNGSQUOTE (zB 89.7% or 0.897):</v>
          </cell>
          <cell r="F390" t="str">
            <v>LTV MEDIO PONDERADO:</v>
          </cell>
          <cell r="J390"/>
          <cell r="K390"/>
        </row>
        <row r="391">
          <cell r="D391"/>
          <cell r="E391"/>
          <cell r="F391"/>
          <cell r="J391"/>
          <cell r="K391"/>
        </row>
        <row r="392">
          <cell r="D392" t="str">
            <v>WA Interest Rate on Floating rate Loans (e.g. 3.12% or 0.0312):</v>
          </cell>
          <cell r="E392" t="str">
            <v>Gewichteter Durchschnittszins für variabel verzinsliche Kredite (zB 3.12% or 0.0312):</v>
          </cell>
          <cell r="F392" t="str">
            <v>TIPO DE INTERÉS MEDIO PONDERADO DE Préstamos a tipo variable:</v>
          </cell>
          <cell r="J392"/>
          <cell r="K392"/>
        </row>
        <row r="393">
          <cell r="D393" t="str">
            <v>WA MARGIN ON FLOATING RATE LOANS (in bps):</v>
          </cell>
          <cell r="E393" t="str">
            <v>GEWICHTETE DURCHSCHNITTLICHE MARGE FÜR VARIABEL VERZINSLICHE KREDITE (in bps):</v>
          </cell>
          <cell r="F393" t="str">
            <v>MARGEN MEDIO PONDERADO DE Préstamos a tipo variable:</v>
          </cell>
          <cell r="J393"/>
          <cell r="K393"/>
        </row>
        <row r="394">
          <cell r="D394" t="str">
            <v>WA Interest Rate on Floating rate Loans originated over last quarter prior to the REPORT DATE (e.g. 3.12% or 0.0312):</v>
          </cell>
          <cell r="E394" t="str">
            <v>Gewichteter Durchschnittszins für variabel verzinsliche Kredite, die im letzten Quartal vor dem BERICHTSDATUM gewaehrt worden sind (zB 3.12% or 0.0312):</v>
          </cell>
          <cell r="F394" t="str">
            <v>MARGEN MEDIO PONDERADO DE Préstamos a tipo variable originados en el trimestre anterior a la FECHA DEL INFORME:</v>
          </cell>
          <cell r="J394"/>
          <cell r="K394"/>
        </row>
        <row r="395">
          <cell r="D395"/>
          <cell r="E395"/>
          <cell r="F395"/>
          <cell r="J395"/>
          <cell r="K395"/>
        </row>
        <row r="396">
          <cell r="D396" t="str">
            <v>WA Interest Rate on fixed rate Loans (e.g. 3.12% or 0.0312):</v>
          </cell>
          <cell r="E396" t="str">
            <v>Gewichteter Durchschnittszins für fest verzinsliche Kredite (zB 3.12% or 0.0312):</v>
          </cell>
          <cell r="F396" t="str">
            <v>TIPO DE INTERÉS MEDIO PONDERADO DE Préstamos a tipo fijo:</v>
          </cell>
          <cell r="J396"/>
          <cell r="K396"/>
        </row>
        <row r="397">
          <cell r="D397" t="str">
            <v>WA MARGIN ON FIXED RATE LOANS (in bps):</v>
          </cell>
          <cell r="E397" t="str">
            <v>GEWICHTETE DURCHSCHNITTLICHE MARGE FÜR FESTVERZINSLICHE KREDITE (in bps):</v>
          </cell>
          <cell r="F397" t="str">
            <v>MARGEN MEDIO PONDERADO DE Préstamos a tipo fijo:</v>
          </cell>
          <cell r="J397"/>
          <cell r="K397"/>
        </row>
        <row r="398">
          <cell r="D398" t="str">
            <v>WA Interest Rate on Floating rate Loans originated over last quarter prior to the REPORT DATE (e.g. 3.12% or 0.0312):</v>
          </cell>
          <cell r="E398" t="str">
            <v>Gewichteter Durchschnittszins für fest verzinsliche Kredite, die im letzten Quartal vor dem BERICHTSDATUM entstanden (zB 3.12% or 0.0312):</v>
          </cell>
          <cell r="F398" t="str">
            <v>MARGEN MEDIO PONDERADO DE Préstamos a tipo variable originados en el trimestre anterior a la FECHA DEL INFORME:</v>
          </cell>
          <cell r="J398"/>
          <cell r="K398"/>
        </row>
        <row r="399">
          <cell r="D399" t="str">
            <v>WA MARGIN ON FIXED RATE LOANS originated in last quarter prior to the REPORT DATE (in bps):</v>
          </cell>
          <cell r="E399" t="str">
            <v>GEWICHTETE DURCHSCHNITTLICHE MARGE FÜR FESTVERZINSLICHE KREDITE, die im letzten Quartal vor dem BERICHTSDATUM entstanden (in bps):</v>
          </cell>
          <cell r="F399" t="str">
            <v>MARGEN MEDIO PONDERADO DE Préstamos a tipo fijo en el trimestre anterior a la FECHA DEL INFORME:</v>
          </cell>
          <cell r="J399"/>
          <cell r="K399"/>
        </row>
        <row r="400">
          <cell r="D400"/>
          <cell r="E400"/>
          <cell r="J400"/>
          <cell r="K400"/>
        </row>
        <row r="401">
          <cell r="D401" t="str">
            <v>Instructions:</v>
          </cell>
          <cell r="E401" t="str">
            <v>Hinweise:</v>
          </cell>
          <cell r="F401" t="str">
            <v>Instrucciones:</v>
          </cell>
          <cell r="J401"/>
          <cell r="K401"/>
        </row>
        <row r="402">
          <cell r="D402" t="str">
            <v>- Press the "detail data menu" button on this page and then select the level of data input detail you wish to provide by checking the relevant options.</v>
          </cell>
          <cell r="E402" t="str">
            <v>- Klicken Sie auf die Schaltfläche "Detail Data Menu" auf diesem Tabellenblatt und wählen Sie dann aus den entsprechenden Möglichkeiten aus, wie detailliert Sie die Daten eingeben wollen.</v>
          </cell>
          <cell r="F402" t="str">
            <v xml:space="preserve"> Presionar el botón "detail data menu" en esta hoja y seleccionar el nivel de detalle de información quse se desea proporcionar marcando las opciones disponibles en el menú</v>
          </cell>
          <cell r="J402"/>
          <cell r="K402"/>
        </row>
        <row r="403">
          <cell r="D403" t="str">
            <v>- LOAN BALANCE refers to the current mortgage balance.  For all LTV calculations, the LTV should be calculated as the LOAN BALANCE plus all prior, equal and subordinated ranking loans secured on the same property, divided by the appropriate property value. The value should be based on the value of the property at loan origination. See LTV.</v>
          </cell>
          <cell r="E403" t="str">
            <v>- KREDITSALDO bezieht sich auf gesamte Kreditbetrag. Zur Berechnung der BELEIHUNGSQUOTE: Im Zaehler: KREDITSALDO plus alle vorrangigen, gleichrangigen und nachrangigen Kredite welche durch dieselbe Immobilie besichert sind / Im Nenner: Wert der Immobilie zum Zeitpunkt der Kreditgewaehrung. Vgl. BELEIHUNGSWERT.</v>
          </cell>
          <cell r="F403" t="str">
            <v>-El SALDO VIVO DE PRÉSTAMOS se refiere al nominal del préstamo hipotecario. En el cómputo del LTV, éste se debe calcular como la ratio del SALDO VIVO DE LOS PRÉSTAMOS más todos los préstamos de mayor, igual o menor rango cubiertos por la misma propiedad, dividido por el valor de tasación de dicha propiedad. Ver LTV</v>
          </cell>
          <cell r="J403"/>
          <cell r="K403"/>
        </row>
        <row r="404">
          <cell r="D404" t="str">
            <v>- The most useful category to complete on this page may be the INTERNAL RATING SCORING split by LTV bands.</v>
          </cell>
          <cell r="E404" t="str">
            <v>- Von besonderer Wichtigkeit in diesem Tabellenblatt sind die Kategorie INTERNES RATING nach BELEIHUNGSQUOTE.</v>
          </cell>
          <cell r="F404" t="str">
            <v>- La categoría más importante a completar en esta hoja es la Distribución por RATINGS INTERNOS distribuidos en rangos de LTV.</v>
          </cell>
          <cell r="K404"/>
        </row>
        <row r="405">
          <cell r="D405" t="str">
            <v xml:space="preserve"> - WA (weighted average) is weighted according to the related LOAN BALANCE.</v>
          </cell>
          <cell r="E405" t="str">
            <v xml:space="preserve"> - Die Gewichtung der gewichteten Durchschnittswerte erfolgt gemäß dem entsprechenden KREDITSALDO.</v>
          </cell>
          <cell r="F405" t="str">
            <v>-La MEDIA PONDERADA se refiere a cualquier ponderación tomando como factor de la misma el SALDO VIVO DE LOS PRÉSTAMOS.</v>
          </cell>
          <cell r="K405"/>
        </row>
        <row r="406">
          <cell r="D406" t="str">
            <v>- Under each category under the "detail data menu" each Loan should only be accounted for once. If in doubt choose the most relevant sub-category only.</v>
          </cell>
          <cell r="E406" t="str">
            <v>- In jeder Kategorie im "Detail Data Menu" ist jeder Kredit nur einmal aufzuführen, im Zweifelsfall  nur in der am besten passenden Unterkategorie.</v>
          </cell>
          <cell r="F406" t="str">
            <v>- En cada epígrafe del menú desplegable "detail data menu", cada Préstamo debería contabilizarse una sola vez. En caso de duda sólo elegir la subcategoría más relevante en la que se pudiera clasificar.</v>
          </cell>
          <cell r="K406"/>
        </row>
        <row r="407">
          <cell r="D407" t="str">
            <v>- If any single property type accounts for a majority (more than 50%) of the LOAN BALANCE this majority property type should be selected.</v>
          </cell>
          <cell r="E407" t="str">
            <v>- Wenn ein Immobilientyp im Hinblick auf den KREDITSALDO überwiegt (über 50%), diesen auswählen.</v>
          </cell>
          <cell r="F407" t="str">
            <v>- Si un tipo de propiedad representa la mayoría del SALDO VIVO DEL PRÉSTAMO (más del 50%), dicho tipo debe ser asignado al préstamo.</v>
          </cell>
          <cell r="K407"/>
        </row>
        <row r="408">
          <cell r="D408" t="str">
            <v>- Commercial LOANS refer to loans which do not qualify as residential, are not backed by a company related to the public sector, but are backed by a mortgage. See COMMERCIAL LOAN and PARTIAL COMMERCIAL USE.</v>
          </cell>
          <cell r="E408" t="str">
            <v>GEWERBLICHE IMMOBILIENKREDITE beziehen sich auf durch Immobilien besicherte Kredite die nicht als Wohnimmobilien-Krediten klassifiziert wurden, nicht an Kreditnehmer aus dem öffentlicher Sektor vergeben wurden und durch Grundpfandrechte (auf andere Immobilien) besichert sind. Vgl. WOHNINMOBILIENKREDITE und TEILWEISE GEWERBLICHE NUTZUNG.</v>
          </cell>
          <cell r="F408" t="str">
            <v>Los préstamos comerciales son aquellos préstamos que no cumplan los criterios para ser tratados como residenciales, no están respaldados por el sector público y están respaldados por hipoteca. (Ver también PRÉSTAMO COMERCIAL y USO COMERCIAL PARCIAL)</v>
          </cell>
          <cell r="K408"/>
        </row>
        <row r="409">
          <cell r="D409"/>
          <cell r="J409"/>
          <cell r="K409"/>
        </row>
        <row r="410">
          <cell r="D410" t="str">
            <v>1. INTERNAL RATING SCORING</v>
          </cell>
          <cell r="E410" t="str">
            <v>1. INTERNES RATING</v>
          </cell>
          <cell r="F410" t="str">
            <v>1. RATINGS INTERNOS</v>
          </cell>
          <cell r="J410"/>
          <cell r="K410"/>
        </row>
        <row r="411">
          <cell r="D411" t="str">
            <v>Overall</v>
          </cell>
          <cell r="E411" t="str">
            <v>Gesamt</v>
          </cell>
          <cell r="F411" t="str">
            <v>General</v>
          </cell>
          <cell r="J411"/>
          <cell r="K411"/>
        </row>
        <row r="412">
          <cell r="D412" t="str">
            <v>Total</v>
          </cell>
          <cell r="E412" t="str">
            <v>Gesamt</v>
          </cell>
          <cell r="F412" t="str">
            <v>Total</v>
          </cell>
          <cell r="J412"/>
          <cell r="K412"/>
        </row>
        <row r="413">
          <cell r="D413" t="str">
            <v>1a. INTERNAL RATING SCORING</v>
          </cell>
          <cell r="E413" t="str">
            <v>1a. INTERNES RATING</v>
          </cell>
          <cell r="F413" t="str">
            <v>1a. RATINGS INTERNOS</v>
          </cell>
          <cell r="J413"/>
          <cell r="K413"/>
        </row>
        <row r="414">
          <cell r="D414" t="str">
            <v>Property Quality</v>
          </cell>
          <cell r="E414" t="str">
            <v>Qualität der Immobilie</v>
          </cell>
          <cell r="F414" t="str">
            <v>Cualidad de las Propiedades</v>
          </cell>
          <cell r="J414"/>
          <cell r="K414"/>
        </row>
        <row r="415">
          <cell r="D415" t="str">
            <v>Total</v>
          </cell>
          <cell r="E415" t="str">
            <v>Gesamt</v>
          </cell>
          <cell r="F415" t="str">
            <v>Total</v>
          </cell>
          <cell r="J415"/>
          <cell r="K415"/>
        </row>
        <row r="416">
          <cell r="D416" t="str">
            <v>1b. INTERNAL RATING SCORING</v>
          </cell>
          <cell r="E416" t="str">
            <v>1b. INTERNES RATING</v>
          </cell>
          <cell r="F416" t="str">
            <v>1b. RATINGS INTERNOS</v>
          </cell>
          <cell r="J416"/>
          <cell r="K416"/>
        </row>
        <row r="417">
          <cell r="D417" t="str">
            <v>Property Location</v>
          </cell>
          <cell r="E417" t="str">
            <v>Lage der Immobilie</v>
          </cell>
          <cell r="F417" t="str">
            <v>Localización de las Propiedades</v>
          </cell>
          <cell r="J417"/>
          <cell r="K417"/>
        </row>
        <row r="418">
          <cell r="D418" t="str">
            <v>Total</v>
          </cell>
          <cell r="E418" t="str">
            <v>Gesamt</v>
          </cell>
          <cell r="F418" t="str">
            <v>Total</v>
          </cell>
          <cell r="J418"/>
          <cell r="K418"/>
        </row>
        <row r="419">
          <cell r="D419" t="str">
            <v>1ab. INTERNAL RATING SCORING</v>
          </cell>
          <cell r="E419" t="str">
            <v>1ab. INTERNES RATING</v>
          </cell>
          <cell r="F419" t="str">
            <v>1ab. RATINGS INTERNOS</v>
          </cell>
          <cell r="J419"/>
          <cell r="K419"/>
        </row>
        <row r="420">
          <cell r="D420" t="str">
            <v xml:space="preserve"> Property Quality AND Property Location </v>
          </cell>
          <cell r="E420" t="str">
            <v>Qualität UND Lage der Immobilie</v>
          </cell>
          <cell r="F420" t="str">
            <v>Cualidad Y Localización de las Propiedades</v>
          </cell>
          <cell r="J420"/>
          <cell r="K420"/>
        </row>
        <row r="421">
          <cell r="D421" t="str">
            <v>Total</v>
          </cell>
          <cell r="E421" t="str">
            <v>Gesamt</v>
          </cell>
          <cell r="F421" t="str">
            <v>Total</v>
          </cell>
          <cell r="J421"/>
          <cell r="K421"/>
        </row>
        <row r="422">
          <cell r="D422" t="str">
            <v>1c. INTERNAL RATING SCORING</v>
          </cell>
          <cell r="E422" t="str">
            <v>1c. INTERNES RATING</v>
          </cell>
          <cell r="F422" t="str">
            <v>1c. RATING INTERNOS</v>
          </cell>
          <cell r="J422"/>
          <cell r="K422"/>
        </row>
        <row r="423">
          <cell r="D423" t="str">
            <v>BORROWER/Sponsor Quality</v>
          </cell>
          <cell r="E423" t="str">
            <v>Qualität des KREDITNEHMERs / des Bürgen</v>
          </cell>
          <cell r="F423" t="str">
            <v>DEUDOR/Cualidad del Sponsor</v>
          </cell>
          <cell r="K423"/>
        </row>
        <row r="424">
          <cell r="D424" t="str">
            <v>Total</v>
          </cell>
          <cell r="E424" t="str">
            <v>Gesamt</v>
          </cell>
          <cell r="F424" t="str">
            <v>Total</v>
          </cell>
          <cell r="K424"/>
        </row>
        <row r="425">
          <cell r="D425" t="str">
            <v>1d. INTERNAL RATING SCORING</v>
          </cell>
          <cell r="E425" t="str">
            <v>1d. INTERNES RATING</v>
          </cell>
          <cell r="F425" t="str">
            <v>1d. RATING INTERNOS</v>
          </cell>
          <cell r="K425"/>
        </row>
        <row r="426">
          <cell r="D426" t="str">
            <v>Tenants Quality</v>
          </cell>
          <cell r="E426" t="str">
            <v>Qualität der Mieter</v>
          </cell>
          <cell r="F426" t="str">
            <v>Cualidad de los Arrendatarios</v>
          </cell>
          <cell r="K426"/>
        </row>
        <row r="427">
          <cell r="D427" t="str">
            <v>Total</v>
          </cell>
          <cell r="E427" t="str">
            <v>Gesamt</v>
          </cell>
          <cell r="F427" t="str">
            <v>Total</v>
          </cell>
          <cell r="K427"/>
        </row>
        <row r="428">
          <cell r="D428" t="str">
            <v>1cd. INTERNAL RATING SCORING</v>
          </cell>
          <cell r="E428" t="str">
            <v>1cd. INTERNES RATING</v>
          </cell>
          <cell r="F428" t="str">
            <v>1cd. RATING INTERNOS</v>
          </cell>
          <cell r="K428"/>
        </row>
        <row r="429">
          <cell r="D429" t="str">
            <v>BORROWER/Sponsor AND Tenant Quality</v>
          </cell>
          <cell r="E429" t="str">
            <v>Qualität des KREDITNEHMERs / des Bürgen UND der Mieter</v>
          </cell>
          <cell r="F429" t="str">
            <v>DEUDOR/Sponsor y calidad de los arrendatarios</v>
          </cell>
          <cell r="K429"/>
        </row>
        <row r="430">
          <cell r="D430" t="str">
            <v>Total</v>
          </cell>
          <cell r="E430" t="str">
            <v>Gesamt</v>
          </cell>
          <cell r="F430" t="str">
            <v>Total</v>
          </cell>
          <cell r="K430"/>
        </row>
        <row r="431">
          <cell r="D431" t="str">
            <v>2a. LTV Distribution - with value based on market or lending value</v>
          </cell>
          <cell r="E431" t="str">
            <v>2a. Verteilung der BELEIHUNGSQUOTEN - auf Markt- oder Beleihungswertbasis</v>
          </cell>
          <cell r="F431" t="str">
            <v>2a. Distribución por rangos de LTV -valor de mercado o de tasación</v>
          </cell>
          <cell r="K431"/>
        </row>
        <row r="432">
          <cell r="D432" t="str">
            <v>2b. LTV Distribution - with value based on vacant possession value</v>
          </cell>
          <cell r="E432" t="str">
            <v>2b. Verteilung der BELEIHUNGSQUOTEN - auf Basis des "vacant possession value"</v>
          </cell>
          <cell r="F432" t="str">
            <v>2b. Distribución por rangos de LTV -valor basado en utilización</v>
          </cell>
          <cell r="K432"/>
        </row>
        <row r="433">
          <cell r="D433" t="str">
            <v>LTV Ranges</v>
          </cell>
          <cell r="E433" t="str">
            <v>Bandbreiten der BELEIHUNGSQUOTEN</v>
          </cell>
          <cell r="F433" t="str">
            <v>Rangos de LTV</v>
          </cell>
          <cell r="K433"/>
        </row>
        <row r="434">
          <cell r="D434" t="str">
            <v>3. Property  Type</v>
          </cell>
          <cell r="E434" t="str">
            <v>3. Immobilientyp</v>
          </cell>
          <cell r="F434" t="str">
            <v>3. Tipo de Propiedad</v>
          </cell>
          <cell r="K434"/>
        </row>
        <row r="435">
          <cell r="D435" t="str">
            <v>Offices (total)</v>
          </cell>
          <cell r="E435" t="str">
            <v>Bürogebäude (gesamt)</v>
          </cell>
          <cell r="F435" t="str">
            <v>Oficinas (Total)</v>
          </cell>
          <cell r="K435"/>
        </row>
        <row r="436">
          <cell r="D436" t="str">
            <v>Offices in central business district</v>
          </cell>
          <cell r="E436" t="str">
            <v>Bürogebäude in zentralem Geschäftsviertel</v>
          </cell>
          <cell r="F436" t="str">
            <v>Oficinas en un distrito céntrico en ciudad</v>
          </cell>
          <cell r="K436"/>
        </row>
        <row r="437">
          <cell r="D437" t="str">
            <v>Offices in other areas</v>
          </cell>
          <cell r="E437" t="str">
            <v>Bürogebäude in anderen Vierteln</v>
          </cell>
          <cell r="F437" t="str">
            <v>Oficinas en zonas suburbanas</v>
          </cell>
          <cell r="K437"/>
        </row>
        <row r="438">
          <cell r="D438" t="str">
            <v>Retail (total)</v>
          </cell>
          <cell r="E438" t="str">
            <v>Einzelhandelsflächen (gesamt)</v>
          </cell>
          <cell r="F438" t="str">
            <v>Locales comerciales (total)</v>
          </cell>
          <cell r="K438"/>
        </row>
        <row r="439">
          <cell r="D439" t="str">
            <v>Retail anchored</v>
          </cell>
          <cell r="E439" t="str">
            <v>Einzelhandelsflächen in Einkaufszentren</v>
          </cell>
          <cell r="F439" t="str">
            <v>Grande Superficie comercial</v>
          </cell>
          <cell r="K439"/>
        </row>
        <row r="440">
          <cell r="D440" t="str">
            <v>Retail unanchored</v>
          </cell>
          <cell r="E440" t="str">
            <v>Einzelhandelsflächen außerhalb von Einkaufszentren</v>
          </cell>
          <cell r="F440" t="str">
            <v>Comercio minorista</v>
          </cell>
          <cell r="K440"/>
        </row>
        <row r="441">
          <cell r="D441" t="str">
            <v>Industrial (total)</v>
          </cell>
          <cell r="E441" t="str">
            <v>Industriegebäude (gesamt)</v>
          </cell>
          <cell r="F441" t="str">
            <v>Industrial (total)</v>
          </cell>
          <cell r="K441"/>
        </row>
        <row r="442">
          <cell r="D442" t="str">
            <v>Logistical facilities, warehouses</v>
          </cell>
          <cell r="E442" t="str">
            <v>Logistikgebäude, Lagergebäude</v>
          </cell>
          <cell r="F442" t="str">
            <v>Uso logístico, almacenes</v>
          </cell>
          <cell r="K442"/>
        </row>
        <row r="443">
          <cell r="D443" t="str">
            <v>Other (plant, factories)</v>
          </cell>
          <cell r="E443" t="str">
            <v>Sonstiges (Anlagen, Fabriken)</v>
          </cell>
          <cell r="F443" t="str">
            <v>Otros (plantas industriales, etc.)</v>
          </cell>
          <cell r="K443"/>
        </row>
        <row r="444">
          <cell r="D444" t="str">
            <v>Hotel</v>
          </cell>
          <cell r="E444" t="str">
            <v>Hotels</v>
          </cell>
          <cell r="F444" t="str">
            <v>Hotel</v>
          </cell>
          <cell r="K444"/>
        </row>
        <row r="445">
          <cell r="D445" t="str">
            <v>Multifamily (total)</v>
          </cell>
          <cell r="E445" t="str">
            <v>Mehrfamilienhäuser (gesamt)</v>
          </cell>
          <cell r="F445" t="str">
            <v>PROMOTORES INMOBILIARIOS</v>
          </cell>
          <cell r="K445"/>
        </row>
        <row r="446">
          <cell r="D446" t="str">
            <v xml:space="preserve">    Landlord</v>
          </cell>
          <cell r="E446" t="str">
            <v>Vermieter</v>
          </cell>
          <cell r="F446" t="str">
            <v>Promotores con menos de tres proyectos</v>
          </cell>
          <cell r="K446"/>
        </row>
        <row r="447">
          <cell r="D447" t="str">
            <v xml:space="preserve">   Tenant Co-operative Property</v>
          </cell>
          <cell r="E447" t="str">
            <v>Gemeinschaftseigentum mit Mietern</v>
          </cell>
          <cell r="F447" t="str">
            <v>Promotores con más de tres proyectos</v>
          </cell>
          <cell r="K447"/>
        </row>
        <row r="448">
          <cell r="D448" t="str">
            <v>MIXED USE</v>
          </cell>
          <cell r="E448" t="str">
            <v>GEMISCHTE NUTZUNG</v>
          </cell>
          <cell r="F448" t="str">
            <v>USO MIXTO</v>
          </cell>
          <cell r="K448"/>
        </row>
        <row r="449">
          <cell r="D449" t="str">
            <v xml:space="preserve">LAND </v>
          </cell>
          <cell r="E449" t="str">
            <v>GRUNDSTÜCKE</v>
          </cell>
          <cell r="F449" t="str">
            <v>TERRENO</v>
          </cell>
          <cell r="K449"/>
        </row>
        <row r="450">
          <cell r="D450" t="str">
            <v>OTHER PROPERTY TYPE</v>
          </cell>
          <cell r="E450" t="str">
            <v>SONSTIGER IMMOBILIENTYP</v>
          </cell>
          <cell r="F450" t="str">
            <v>Otro</v>
          </cell>
          <cell r="K450"/>
        </row>
        <row r="451">
          <cell r="D451" t="str">
            <v>Total</v>
          </cell>
          <cell r="E451" t="str">
            <v>Gesamt</v>
          </cell>
          <cell r="F451" t="str">
            <v>Total</v>
          </cell>
          <cell r="K451"/>
        </row>
        <row r="452">
          <cell r="D452" t="str">
            <v>4. PRIOR RANKS</v>
          </cell>
          <cell r="E452" t="str">
            <v>4. VORRANGIGE VERBINDLICHKEITEN</v>
          </cell>
          <cell r="F452" t="str">
            <v>4. RANGOS SUPERIORES</v>
          </cell>
          <cell r="J452"/>
          <cell r="K452"/>
        </row>
        <row r="453">
          <cell r="D453" t="str">
            <v xml:space="preserve">No PRIOR RANKS </v>
          </cell>
          <cell r="E453" t="str">
            <v>Keine vorrangigen Verbindlichkeiten</v>
          </cell>
          <cell r="F453" t="str">
            <v>SIN RANGOS SUPERIORES</v>
          </cell>
          <cell r="J453"/>
          <cell r="K453"/>
        </row>
        <row r="454">
          <cell r="D454" t="str">
            <v>PRIOR RANKS (total)</v>
          </cell>
          <cell r="E454" t="str">
            <v>VORRANGIGE VERBINDLICHKEITEN (gesamt)</v>
          </cell>
          <cell r="F454" t="str">
            <v>TOTAL DE RANGOS SUPERIORES</v>
          </cell>
          <cell r="J454"/>
          <cell r="K454"/>
        </row>
        <row r="455">
          <cell r="D455" t="str">
            <v>PRIOR RANKS &lt;25% of property value</v>
          </cell>
          <cell r="E455" t="str">
            <v>VORRANGIGE VERBINDLICHKEITEN &lt;25% des Wertes der Immobilie</v>
          </cell>
          <cell r="F455" t="str">
            <v>RANGOS SUPERIORES &lt;25% del valor del inmueble</v>
          </cell>
          <cell r="J455"/>
          <cell r="K455"/>
        </row>
        <row r="456">
          <cell r="D456" t="str">
            <v>PRIOR RANKS ≥25%-&lt;50% of property value</v>
          </cell>
          <cell r="E456" t="str">
            <v>VORRANGIGE VERBINDLICHKEITEN ≥25%-&lt;50% des Wertes der Immobilie</v>
          </cell>
          <cell r="F456" t="str">
            <v>RANGOS SUPERIORES ≥25%-&lt;50% del valor del inmueble</v>
          </cell>
          <cell r="K456"/>
        </row>
        <row r="457">
          <cell r="D457" t="str">
            <v>PRIOR RANKS ≥50%-&lt;75% of property value</v>
          </cell>
          <cell r="E457" t="str">
            <v>VORRANGIGE VERBINDLICHKEITEN ≥50%-&lt;75% des Wertes der Immobilie</v>
          </cell>
          <cell r="F457" t="str">
            <v>RANGOS SUPERIORES ≥50%-&lt;75% del valor del inmueble</v>
          </cell>
          <cell r="K457"/>
        </row>
        <row r="458">
          <cell r="D458" t="str">
            <v>PRIOR RANKS &gt;75% of property value</v>
          </cell>
          <cell r="E458" t="str">
            <v>VORRANGIGE VERBINDLICHKEITEN &gt;75% des Wertes der Immobilie</v>
          </cell>
          <cell r="F458" t="str">
            <v>RANGOS SUPERIORES &gt;75% del valor del inmueble</v>
          </cell>
          <cell r="K458"/>
        </row>
        <row r="459">
          <cell r="D459" t="str">
            <v>Total</v>
          </cell>
          <cell r="E459" t="str">
            <v>Gesamt</v>
          </cell>
          <cell r="F459" t="str">
            <v>Total</v>
          </cell>
          <cell r="K459"/>
        </row>
        <row r="460">
          <cell r="D460" t="str">
            <v>5. Principal Repayment Pattern</v>
          </cell>
          <cell r="E460" t="str">
            <v>5.Rückzahlung des Kredits</v>
          </cell>
          <cell r="F460" t="str">
            <v>5. Tipo de amortización de Principal</v>
          </cell>
          <cell r="K460"/>
        </row>
        <row r="461">
          <cell r="D461" t="str">
            <v>BULLET (no amortisation of principal before repayment of loan)</v>
          </cell>
          <cell r="E461" t="str">
            <v>Endfällig (keine Tilgungszahlungen vor der Fälligkeit des Darlehens)</v>
          </cell>
          <cell r="F461" t="str">
            <v>BULLET (no se amortiza el principal hasta el vencimiento del préstamo)</v>
          </cell>
          <cell r="K461"/>
        </row>
        <row r="462">
          <cell r="D462" t="str">
            <v>Partial BULLET with partial amortisation on an ANNUITY basis</v>
          </cell>
          <cell r="E462" t="str">
            <v>Teilweise endfällig (ANNUITÄTENDARLEHEN)</v>
          </cell>
          <cell r="F462" t="str">
            <v>Parcialmente BULLET con parte de AMORTIZACIÓN FRANCESA</v>
          </cell>
          <cell r="K462"/>
        </row>
        <row r="463">
          <cell r="D463" t="str">
            <v>Partial BULLET with partial amortisation on a STRAIGHT LINE basis</v>
          </cell>
          <cell r="E463" t="str">
            <v>Teilweise endfällig (RATENDARLEHEN)</v>
          </cell>
          <cell r="F463" t="str">
            <v>Parcialmente BULLET con parte de AMORTIZACIÓN LINEAL</v>
          </cell>
          <cell r="K463"/>
        </row>
        <row r="464">
          <cell r="D464" t="str">
            <v>Partial BULLET with partial amortisation on other basis</v>
          </cell>
          <cell r="E464" t="str">
            <v>Teilweise endfällig mit anderer teilweiser Tilgung</v>
          </cell>
          <cell r="F464" t="str">
            <v>Parcialmente BULLET con parte de amortización de otro tipo</v>
          </cell>
          <cell r="K464"/>
        </row>
        <row r="465">
          <cell r="D465" t="str">
            <v>Fully amortising principal with principal repaid on an ANNUITY basis</v>
          </cell>
          <cell r="E465" t="str">
            <v>Darlehen mit vollständiger annuitätischer Tilgung</v>
          </cell>
          <cell r="F465" t="str">
            <v>AMORTIZACIÓN FRANCESA</v>
          </cell>
          <cell r="K465"/>
        </row>
        <row r="466">
          <cell r="D466" t="str">
            <v>Fully amortising principal with principal repaid on a STRAIGHT LINE basis</v>
          </cell>
          <cell r="E466" t="str">
            <v>Vollständig amortisierendes RATENDARLEHEN</v>
          </cell>
          <cell r="F466" t="str">
            <v>AMORTIZACIÓN LINEAL</v>
          </cell>
          <cell r="K466"/>
        </row>
        <row r="467">
          <cell r="D467" t="str">
            <v>Fully amortising principal with principal repaid on another basis</v>
          </cell>
          <cell r="E467" t="str">
            <v>Vollständig amortisierendes Darlehen mit anderer Tilgungsart</v>
          </cell>
          <cell r="F467" t="str">
            <v>OTRO TIPO DE AMORTIZACIÓN</v>
          </cell>
          <cell r="J467"/>
          <cell r="K467"/>
        </row>
        <row r="468">
          <cell r="D468" t="str">
            <v>6. INTEREST RATE TYPE</v>
          </cell>
          <cell r="E468" t="str">
            <v>6.ZINSTYP</v>
          </cell>
          <cell r="F468" t="str">
            <v>8. Clase de Tipo de Interés</v>
          </cell>
          <cell r="J468"/>
          <cell r="K468"/>
        </row>
        <row r="469">
          <cell r="D469" t="str">
            <v>Fixed rate</v>
          </cell>
          <cell r="E469" t="str">
            <v>Fest verzinslich</v>
          </cell>
          <cell r="F469" t="str">
            <v>Tipo Fijo</v>
          </cell>
          <cell r="J469"/>
          <cell r="K469"/>
        </row>
        <row r="470">
          <cell r="D470" t="str">
            <v>Floating rate (no Caps)</v>
          </cell>
          <cell r="E470" t="str">
            <v>Variabel verzinslich (keine Obergrenze)</v>
          </cell>
          <cell r="F470" t="str">
            <v>Variable (sin Caps)</v>
          </cell>
          <cell r="J470"/>
          <cell r="K470"/>
        </row>
        <row r="471">
          <cell r="D471" t="str">
            <v>Floating rate (Caps)</v>
          </cell>
          <cell r="E471" t="str">
            <v>Variabel verzinslich (mit Obergrenze)</v>
          </cell>
          <cell r="F471" t="str">
            <v>Variable (con Caps)</v>
          </cell>
          <cell r="J471"/>
          <cell r="K471"/>
        </row>
        <row r="472">
          <cell r="D472" t="str">
            <v>Other</v>
          </cell>
          <cell r="E472" t="str">
            <v>Sonstiges</v>
          </cell>
          <cell r="F472" t="str">
            <v>Otro</v>
          </cell>
          <cell r="J472"/>
          <cell r="K472"/>
        </row>
        <row r="473">
          <cell r="D473" t="str">
            <v>Total</v>
          </cell>
          <cell r="E473" t="str">
            <v>Gesamt</v>
          </cell>
          <cell r="F473" t="str">
            <v>Total</v>
          </cell>
          <cell r="J473"/>
          <cell r="K473"/>
        </row>
        <row r="474">
          <cell r="D474" t="str">
            <v>7. Current REMAINING TERM</v>
          </cell>
          <cell r="E474" t="str">
            <v>7. VERBLEIBENDE LAUFZEIT</v>
          </cell>
          <cell r="F474" t="str">
            <v xml:space="preserve">7. VIDA RESTANTE </v>
          </cell>
          <cell r="J474"/>
          <cell r="K474"/>
        </row>
        <row r="475">
          <cell r="D475" t="str">
            <v>REMAINING TERM in years</v>
          </cell>
          <cell r="E475" t="str">
            <v>VERBLEIBENDE LAUFZEIT in Jahren</v>
          </cell>
          <cell r="F475" t="str">
            <v>VIDA RESTANTE en años</v>
          </cell>
          <cell r="J475"/>
          <cell r="K475"/>
        </row>
        <row r="476">
          <cell r="D476" t="str">
            <v>Total</v>
          </cell>
          <cell r="E476" t="str">
            <v>Gesamt</v>
          </cell>
          <cell r="F476" t="str">
            <v>Total</v>
          </cell>
          <cell r="J476"/>
          <cell r="K476"/>
        </row>
        <row r="477">
          <cell r="D477" t="str">
            <v>8. LOANS IN ARREARS/foreclosure proceedings</v>
          </cell>
          <cell r="E477" t="str">
            <v>8. RÜCKSTÄNDIGE KREDITE / Zwangsvollstreckungsverfahren</v>
          </cell>
          <cell r="F477" t="str">
            <v>8. MOROSIDAD y PROCEDIMIENTOS DE EJECUCIÓN</v>
          </cell>
          <cell r="J477"/>
          <cell r="K477"/>
        </row>
        <row r="478">
          <cell r="D478" t="str">
            <v>Days</v>
          </cell>
          <cell r="E478" t="str">
            <v>Tage</v>
          </cell>
          <cell r="F478" t="str">
            <v>Meses</v>
          </cell>
          <cell r="J478"/>
          <cell r="K478"/>
        </row>
        <row r="479">
          <cell r="D479" t="str">
            <v>&lt;60 (and not BPI or Fce)</v>
          </cell>
          <cell r="E479" t="str">
            <v>&lt;60 (keine Einleitung eines Konkursverfahrens bzw. Zwangsvollstreckung)</v>
          </cell>
          <cell r="F479" t="str">
            <v xml:space="preserve"> ≤60 (y no se ha iniciado proceso recuperatorio o ejecución)</v>
          </cell>
          <cell r="J479"/>
          <cell r="K479"/>
        </row>
        <row r="480">
          <cell r="D480" t="str">
            <v>≥60-&lt;120 (and not BPI or Fce)</v>
          </cell>
          <cell r="E480" t="str">
            <v>≥60-&lt;120 (keine Einleitung eines Konkursverfahrens bzw. Zwangsvollstreckung)</v>
          </cell>
          <cell r="F480" t="str">
            <v xml:space="preserve"> ≥60-&lt;120 (y no se ha iniciado proceso recuperatorio o ejecución)</v>
          </cell>
          <cell r="J480"/>
          <cell r="K480"/>
        </row>
        <row r="481">
          <cell r="D481" t="str">
            <v>≥120 (and not BPI or Fce)</v>
          </cell>
          <cell r="E481" t="str">
            <v>≥120 (keine Einleitung eines Konkursverfahrens bzw. Zwangsvollstreckung)</v>
          </cell>
          <cell r="F481" t="str">
            <v xml:space="preserve"> ≥120 (y no se ha iniciado proceso recuperatorio o ejecución)</v>
          </cell>
          <cell r="J481"/>
          <cell r="K481"/>
        </row>
        <row r="482">
          <cell r="D482" t="str">
            <v>Bankruptcy proceedings initiated ("BPI") (and not Fce)</v>
          </cell>
          <cell r="E482" t="str">
            <v>Einleitung eines Konkursverfahrens (keine Zwangsvollstreckung)</v>
          </cell>
          <cell r="F482" t="str">
            <v>se ha iniciado proceso recuperatorio (y no ejecución)</v>
          </cell>
          <cell r="J482"/>
          <cell r="K482"/>
        </row>
        <row r="483">
          <cell r="D483" t="str">
            <v>Foreclosure ("Fce")</v>
          </cell>
          <cell r="E483" t="str">
            <v>Zwangsvollstreckung</v>
          </cell>
          <cell r="F483" t="str">
            <v>En Ejecución</v>
          </cell>
          <cell r="J483"/>
          <cell r="K483"/>
        </row>
        <row r="484">
          <cell r="D484" t="str">
            <v>9. PROVISIONED LOANS</v>
          </cell>
          <cell r="E484" t="str">
            <v>9. WERTBERICHTIGTE KREDITE</v>
          </cell>
          <cell r="F484" t="str">
            <v>9. PROVISIONES</v>
          </cell>
          <cell r="J484"/>
          <cell r="K484"/>
        </row>
        <row r="485">
          <cell r="D485" t="str">
            <v>No Provisioning</v>
          </cell>
          <cell r="E485" t="str">
            <v>Keine RÜCKSTELLUNGEN/ Wertberichtigungen</v>
          </cell>
          <cell r="F485" t="str">
            <v>Sin provisionar</v>
          </cell>
          <cell r="J485"/>
          <cell r="K485"/>
        </row>
        <row r="486">
          <cell r="D486" t="str">
            <v>PARTIAL PROVISIONING</v>
          </cell>
          <cell r="E486" t="str">
            <v>TEILWEISE RÜCKSTELLUNGEN / Wertberichtigungen</v>
          </cell>
          <cell r="F486" t="str">
            <v>PROVISIÓN PARCIAL</v>
          </cell>
          <cell r="J486"/>
          <cell r="K486"/>
        </row>
        <row r="487">
          <cell r="D487" t="str">
            <v>FULL PROVISIONING</v>
          </cell>
          <cell r="E487" t="str">
            <v>VOLLSTÄNDIGE RÜCKSTELLUNGEN / Wertberichtigungen</v>
          </cell>
          <cell r="F487" t="str">
            <v>PROVISIÓN TOTAL</v>
          </cell>
          <cell r="J487"/>
          <cell r="K487"/>
        </row>
        <row r="488">
          <cell r="D488" t="str">
            <v>10. DSCR</v>
          </cell>
          <cell r="E488" t="str">
            <v>10. SCHULDENDIENSTDECKUNGSQUOTE</v>
          </cell>
          <cell r="F488" t="str">
            <v>10. DSCR</v>
          </cell>
          <cell r="J488"/>
          <cell r="K488"/>
        </row>
        <row r="489">
          <cell r="D489" t="str">
            <v>Ranges</v>
          </cell>
          <cell r="E489" t="str">
            <v>Bandbreiten</v>
          </cell>
          <cell r="F489" t="str">
            <v>Rangos</v>
          </cell>
          <cell r="J489"/>
          <cell r="K489"/>
        </row>
        <row r="490">
          <cell r="D490" t="str">
            <v>11. No. of Tenants</v>
          </cell>
          <cell r="E490" t="str">
            <v>11. Anzahl der Mieter</v>
          </cell>
          <cell r="F490" t="str">
            <v>11. Núm. de arrendatarios</v>
          </cell>
          <cell r="J490"/>
          <cell r="K490"/>
        </row>
        <row r="491">
          <cell r="D491" t="str">
            <v>Ranges of Tenants</v>
          </cell>
          <cell r="E491" t="str">
            <v>Mieter</v>
          </cell>
          <cell r="F491" t="str">
            <v>Arrendatarios</v>
          </cell>
          <cell r="J491"/>
          <cell r="K491"/>
        </row>
        <row r="492">
          <cell r="D492" t="str">
            <v>11a. No. of Tenants - by DSCR ranges</v>
          </cell>
          <cell r="E492" t="str">
            <v>11a. Anzahl der Mieter - nach SCHULDENDIENSTDECKUNGSQUOTE</v>
          </cell>
          <cell r="F492" t="str">
            <v>11a. Núm. of arrendatarios - por rangos DSCR</v>
          </cell>
          <cell r="J492"/>
          <cell r="K492"/>
        </row>
        <row r="493">
          <cell r="D493"/>
          <cell r="J493"/>
          <cell r="K493"/>
        </row>
        <row r="494">
          <cell r="D494" t="str">
            <v>12. Regions</v>
          </cell>
          <cell r="E494" t="str">
            <v>12. Regionen</v>
          </cell>
          <cell r="F494" t="str">
            <v>12. COMUNIDADES AUTÓNOMAS</v>
          </cell>
          <cell r="J494"/>
          <cell r="K494"/>
        </row>
        <row r="495">
          <cell r="D495" t="str">
            <v>12a. Regions - by LTV Ranges</v>
          </cell>
          <cell r="E495" t="str">
            <v>12a. Regionen nach Korridoren für die BELEIHUNGSQUOTE</v>
          </cell>
          <cell r="F495" t="str">
            <v>12a. COMUNIDADES AUTÓNOMAS por rangos de LTV</v>
          </cell>
          <cell r="J495"/>
          <cell r="K495"/>
        </row>
        <row r="496">
          <cell r="D496"/>
          <cell r="E496"/>
          <cell r="F496"/>
          <cell r="H496"/>
          <cell r="I496"/>
          <cell r="J496"/>
          <cell r="K496"/>
        </row>
        <row r="497">
          <cell r="D497" t="str">
            <v>Public Sector Loans</v>
          </cell>
          <cell r="E497" t="str">
            <v>Kredite an den öffentlichen Sektor</v>
          </cell>
          <cell r="F497" t="str">
            <v>Cartera del Sector Público</v>
          </cell>
          <cell r="J497"/>
          <cell r="K497"/>
        </row>
        <row r="498">
          <cell r="D498"/>
          <cell r="E498"/>
          <cell r="J498"/>
          <cell r="K498"/>
        </row>
        <row r="499">
          <cell r="D499" t="str">
            <v>Overview Data</v>
          </cell>
          <cell r="E499" t="str">
            <v>Datenüberblick</v>
          </cell>
          <cell r="F499" t="str">
            <v>Resumen de Información</v>
          </cell>
          <cell r="J499"/>
          <cell r="K499"/>
        </row>
        <row r="500">
          <cell r="D500" t="str">
            <v>WA LOAN BALANCE:</v>
          </cell>
          <cell r="E500" t="str">
            <v>GEWICHTETER DURCHSCHNITTLICHER KREDITSALDO</v>
          </cell>
          <cell r="F500" t="str">
            <v>MEDIA PONDERADA del SALDO VIVO</v>
          </cell>
          <cell r="J500"/>
          <cell r="K500"/>
        </row>
        <row r="501">
          <cell r="D501" t="str">
            <v>NO. OF LOANS:</v>
          </cell>
          <cell r="E501" t="str">
            <v>ZAHL DER KREDITE</v>
          </cell>
          <cell r="F501" t="str">
            <v>Nº de Préstamos</v>
          </cell>
          <cell r="J501"/>
          <cell r="K501"/>
        </row>
        <row r="502">
          <cell r="D502" t="str">
            <v>Total LOAN BALANCE:</v>
          </cell>
          <cell r="E502" t="str">
            <v>Gesamter KREDITSALDO:</v>
          </cell>
          <cell r="F502" t="str">
            <v>Total SALDO VIVO DE PRÉSTAMOS:</v>
          </cell>
          <cell r="J502"/>
          <cell r="K502"/>
        </row>
        <row r="503">
          <cell r="D503"/>
          <cell r="E503"/>
          <cell r="F503"/>
          <cell r="J503"/>
          <cell r="K503"/>
        </row>
        <row r="504">
          <cell r="D504" t="str">
            <v>WA Interest Rate on Floating rate Loans (in %):</v>
          </cell>
          <cell r="E504" t="str">
            <v>Gewichteter Durchschnittszins für variabel verzinsliche Kredite (in %):</v>
          </cell>
          <cell r="F504" t="str">
            <v>TIPO DE INTERÉS MEDIO PONDERADO DE Préstamos a tipo variable:</v>
          </cell>
          <cell r="J504"/>
          <cell r="K504"/>
        </row>
        <row r="505">
          <cell r="D505" t="str">
            <v>WA MARGIN ON FLOATING RATE LOANS (in bps):</v>
          </cell>
          <cell r="E505" t="str">
            <v>GEWICHTETE DURCHSCHNITTLICHE MARGE FÜR VARIABEL VERZINSLICHE KREDITE (in bps):</v>
          </cell>
          <cell r="F505" t="str">
            <v>MARGEN MEDIO PONDERADO DE Préstamos a tipo variable:</v>
          </cell>
          <cell r="J505"/>
          <cell r="K505"/>
        </row>
        <row r="506">
          <cell r="D506" t="str">
            <v>WA Interest Rate on Floating rate Loans originated over last quarter prior to the REPORT DATE (in %):</v>
          </cell>
          <cell r="E506" t="str">
            <v>Gewichteter Durchschnittszins für variabel verzinsliche Kredite, die im letzten Quartal vor dem BERICHTSDATUM entstanden (in %):</v>
          </cell>
          <cell r="F506" t="str">
            <v>MARGEN MEDIO PONDERADO DE Préstamos a tipo variable originados en el trimestre anterior a la FECHA DEL INFORME:</v>
          </cell>
          <cell r="J506"/>
          <cell r="K506"/>
        </row>
        <row r="507">
          <cell r="D507"/>
          <cell r="E507"/>
          <cell r="F507"/>
          <cell r="J507"/>
          <cell r="K507"/>
        </row>
        <row r="508">
          <cell r="D508" t="str">
            <v>WA Interest Rate on Fixed rate Loans (in %):</v>
          </cell>
          <cell r="E508" t="str">
            <v>Gewichteter Durchschnittszins für fest verzinsliche Kredite (in %):</v>
          </cell>
          <cell r="F508" t="str">
            <v>TIPO DE INTERÉS MEDIO PONDERADO DE Préstamos a tipo fijo:</v>
          </cell>
          <cell r="J508"/>
          <cell r="K508"/>
        </row>
        <row r="509">
          <cell r="D509" t="str">
            <v>WA MARGIN ON FIXED RATE LOANS (in bps):</v>
          </cell>
          <cell r="E509" t="str">
            <v>GEWICHTETE DURCHSCHNITTLICHE MARGE FÜR FESTVERZINSLICHE KREDITE (in bps):</v>
          </cell>
          <cell r="F509" t="str">
            <v>MARGEN MEDIO PONDERADO DE Préstamos a tipo fijo:</v>
          </cell>
          <cell r="J509"/>
          <cell r="K509"/>
        </row>
        <row r="510">
          <cell r="D510" t="str">
            <v>WA Interest Rate on Floating rate Loans originated over last quarter prior to the REPORT DATE (in %):</v>
          </cell>
          <cell r="E510" t="str">
            <v>Gewichteter Durchschnittszins für fest verzinsliche Kredite, die im letzten Quartal vor dem BERICHTSDATUM entstanden (in %):</v>
          </cell>
          <cell r="F510" t="str">
            <v>MARGEN MEDIO PONDERADO DE Préstamos a tipo variable originados en el trimestre anterior a la FECHA DEL INFORME:</v>
          </cell>
          <cell r="J510"/>
          <cell r="K510"/>
        </row>
        <row r="511">
          <cell r="D511" t="str">
            <v>WA MARGIN ON FIXED RATE LOANS originated in last quarter prior to the REPORT DATE (in bps):</v>
          </cell>
          <cell r="E511" t="str">
            <v>GEWICHTETE DURCHSCHNITTLICHE MARGE FÜR FESTVERZINSLICHE KREDITE, die im letzten Quartal vor dem BERICHTSDATUM entstanden (in bps):</v>
          </cell>
          <cell r="F511" t="str">
            <v>MARGEN MEDIO PONDERADO DE Préstamos a tipo fijo en el trimestre anterior a la FECHA DEL INFORME:</v>
          </cell>
          <cell r="J511"/>
          <cell r="K511"/>
        </row>
        <row r="512">
          <cell r="D512" t="str">
            <v/>
          </cell>
          <cell r="E512" t="str">
            <v/>
          </cell>
          <cell r="F512" t="str">
            <v/>
          </cell>
          <cell r="J512"/>
          <cell r="K512"/>
        </row>
        <row r="513">
          <cell r="D513" t="str">
            <v/>
          </cell>
          <cell r="E513" t="str">
            <v/>
          </cell>
          <cell r="F513" t="str">
            <v/>
          </cell>
          <cell r="J513"/>
          <cell r="K513"/>
        </row>
        <row r="514">
          <cell r="D514" t="str">
            <v/>
          </cell>
          <cell r="E514" t="str">
            <v/>
          </cell>
          <cell r="F514" t="str">
            <v/>
          </cell>
          <cell r="J514"/>
          <cell r="K514"/>
        </row>
        <row r="515">
          <cell r="D515" t="str">
            <v/>
          </cell>
          <cell r="E515" t="str">
            <v/>
          </cell>
          <cell r="F515" t="str">
            <v/>
          </cell>
          <cell r="J515"/>
          <cell r="K515"/>
        </row>
        <row r="516">
          <cell r="D516" t="str">
            <v>Internal LOAN Rating</v>
          </cell>
          <cell r="E516" t="str">
            <v>INTERNES RATING des Kredits</v>
          </cell>
          <cell r="F516" t="str">
            <v>Rating interno del préstamo</v>
          </cell>
          <cell r="J516"/>
          <cell r="K516"/>
        </row>
        <row r="517">
          <cell r="D517" t="str">
            <v>Individual Information on Public Sector Assets</v>
          </cell>
          <cell r="E517" t="str">
            <v>Daten zu einzelnen Krediten an den öffentlichen Sektor</v>
          </cell>
          <cell r="F517" t="str">
            <v>Información individual</v>
          </cell>
          <cell r="J517"/>
          <cell r="K517"/>
        </row>
        <row r="518">
          <cell r="D518" t="str">
            <v>DEBTOR Name</v>
          </cell>
          <cell r="E518" t="str">
            <v>Name des SCHULDNERS</v>
          </cell>
          <cell r="F518" t="str">
            <v>Nombre del DEUDOR</v>
          </cell>
          <cell r="J518"/>
          <cell r="K518"/>
        </row>
        <row r="519">
          <cell r="D519" t="str">
            <v>DEBTOR classification</v>
          </cell>
          <cell r="E519" t="str">
            <v>Klassifizierung des SCHULDNERS</v>
          </cell>
          <cell r="F519" t="str">
            <v>Clasificación del DEUDOR</v>
          </cell>
          <cell r="J519"/>
          <cell r="K519"/>
        </row>
        <row r="520">
          <cell r="D520" t="str">
            <v>Country in which DEBTOR is based</v>
          </cell>
          <cell r="E520" t="str">
            <v>Land, in dem der SCHULDNER ansässig ist</v>
          </cell>
          <cell r="F520" t="str">
            <v>País del DEUDOR</v>
          </cell>
          <cell r="J520"/>
          <cell r="K520"/>
        </row>
        <row r="521">
          <cell r="D521" t="str">
            <v>Region of DEBTOR</v>
          </cell>
          <cell r="E521" t="str">
            <v>Region des SCHULDNERS</v>
          </cell>
          <cell r="F521" t="str">
            <v>Región del DEUDOR</v>
          </cell>
          <cell r="J521"/>
          <cell r="K521"/>
        </row>
        <row r="522">
          <cell r="D522" t="str">
            <v>Loan currency</v>
          </cell>
          <cell r="E522" t="str">
            <v>Währung des Kredits</v>
          </cell>
          <cell r="F522" t="str">
            <v>DIVISA del PRÉSTAMO</v>
          </cell>
          <cell r="J522"/>
          <cell r="K522"/>
        </row>
        <row r="523">
          <cell r="D523" t="str">
            <v>LOAN BALANCE - 1</v>
          </cell>
          <cell r="E523" t="str">
            <v>KREDITSALDO - 1</v>
          </cell>
          <cell r="F523" t="str">
            <v>SALDO VIVO DEL PRÉSTAMO -1</v>
          </cell>
          <cell r="J523"/>
          <cell r="K523"/>
        </row>
        <row r="524">
          <cell r="D524" t="str">
            <v>LOAN BALANCE - 2</v>
          </cell>
          <cell r="E524" t="str">
            <v>KREDITSALDO - 2</v>
          </cell>
          <cell r="F524" t="str">
            <v>SALDO VIVO DEL PRÉSTAMO -2</v>
          </cell>
          <cell r="J524"/>
          <cell r="K524"/>
        </row>
        <row r="525">
          <cell r="D525" t="str">
            <v>Moody's DEBTOR Rating</v>
          </cell>
          <cell r="E525" t="str">
            <v>SCHULDNER-Rating von Moody's</v>
          </cell>
          <cell r="F525" t="str">
            <v>Rating del DEUDOR según Moody's</v>
          </cell>
          <cell r="J525"/>
          <cell r="K525"/>
        </row>
        <row r="526">
          <cell r="D526" t="str">
            <v>S&amp;P DEBTOR Rating</v>
          </cell>
          <cell r="E526" t="str">
            <v>SCHULDNER-Rating von S&amp;P</v>
          </cell>
          <cell r="F526" t="str">
            <v>Rating del DEUDOR según S&amp;P</v>
          </cell>
          <cell r="J526"/>
          <cell r="K526"/>
        </row>
        <row r="527">
          <cell r="D527" t="str">
            <v>Fitch DEBTOR Rating</v>
          </cell>
          <cell r="E527" t="str">
            <v>SCHULDNER-Rating von Fitch</v>
          </cell>
          <cell r="F527" t="str">
            <v>Rating del DEUDOR según Fitch</v>
          </cell>
          <cell r="J527"/>
          <cell r="K527"/>
        </row>
        <row r="528">
          <cell r="D528" t="str">
            <v>Internal DEBTOR Rating</v>
          </cell>
          <cell r="E528" t="str">
            <v>INTERNES RATING für den SCHULDNER</v>
          </cell>
          <cell r="F528" t="str">
            <v>Rating Interno del Deudor</v>
          </cell>
          <cell r="J528"/>
          <cell r="K528"/>
        </row>
        <row r="529">
          <cell r="D529" t="str">
            <v>Maturity date on Loan (dd/mm/yyyy)</v>
          </cell>
          <cell r="E529" t="str">
            <v>Fälligkeitsdatum des Kredits (MM/TT/JJJJ)</v>
          </cell>
          <cell r="F529" t="str">
            <v>Fecha de Vencimiento (dd/mm/aaaa)</v>
          </cell>
          <cell r="J529"/>
          <cell r="K529"/>
        </row>
        <row r="530">
          <cell r="D530" t="str">
            <v>INTEREST RATE TYPE</v>
          </cell>
          <cell r="E530" t="str">
            <v>ZINSTYP</v>
          </cell>
          <cell r="F530" t="str">
            <v>CLASE DE TIPO DE INTERÉS</v>
          </cell>
          <cell r="J530"/>
          <cell r="K530"/>
        </row>
        <row r="531">
          <cell r="D531" t="str">
            <v>If interest on loan is fixed, fixed interest rate (in %)</v>
          </cell>
          <cell r="E531" t="str">
            <v>Fester Zinssatz in % (falls zutreffend)</v>
          </cell>
          <cell r="F531" t="str">
            <v>Tipo de interés si es a tipo fijo (en %)</v>
          </cell>
          <cell r="J531"/>
          <cell r="K531"/>
        </row>
        <row r="532">
          <cell r="D532" t="str">
            <v>WA MARGIN ON FIXED RATE LOANS (in bps)</v>
          </cell>
          <cell r="E532" t="str">
            <v>Gewichtete durchschnittliche Zinsmarge bei variabler Verzinsung (in bps)</v>
          </cell>
          <cell r="F532" t="str">
            <v>Margen Medio Ponderado de préstamos tipo fijo (en bps)</v>
          </cell>
          <cell r="J532"/>
          <cell r="K532"/>
        </row>
        <row r="533">
          <cell r="D533" t="str">
            <v>WA MARGIN ON FLOATING RATE LOANS (in bps)</v>
          </cell>
          <cell r="E533" t="str">
            <v>Gewichtete durchschnittliche Zinsmarge bei fixer Verzinsung (in bps)</v>
          </cell>
          <cell r="F533" t="str">
            <v>Margen Medio Ponderado de préstamos a tipo variable (en bps)</v>
          </cell>
          <cell r="J533"/>
          <cell r="K533"/>
        </row>
        <row r="534">
          <cell r="D534" t="str">
            <v>Is Loan also backed by a mortgage?</v>
          </cell>
          <cell r="E534" t="str">
            <v>Ist der Kredit zusaetzlich durch eine Hypothek besichert?</v>
          </cell>
          <cell r="F534" t="str">
            <v>Tiene garantía real?</v>
          </cell>
          <cell r="J534"/>
          <cell r="K534"/>
        </row>
        <row r="535">
          <cell r="D535" t="str">
            <v>LTV (%)</v>
          </cell>
          <cell r="E535" t="str">
            <v>BELEIHUNGSQUOTE des Kredits (%)</v>
          </cell>
          <cell r="F535" t="str">
            <v>LTV (%)</v>
          </cell>
          <cell r="J535"/>
          <cell r="K535"/>
        </row>
        <row r="536">
          <cell r="D536" t="str">
            <v>Eligible for repo transactions with ECB / applicable central bank</v>
          </cell>
          <cell r="E536" t="str">
            <v>Zugelassen für Repo-Geschäfte mit EZB / Zentralbank</v>
          </cell>
          <cell r="F536" t="str">
            <v>Elegible en operaciones de REPO con BCE / banco central</v>
          </cell>
          <cell r="J536"/>
          <cell r="K536"/>
        </row>
        <row r="537">
          <cell r="D537" t="str">
            <v>Loan performing (in months)</v>
          </cell>
          <cell r="E537" t="str">
            <v>RÜCKSTÄNDIGE KREDITE (in Monaten)</v>
          </cell>
          <cell r="F537" t="str">
            <v>MOROSIDAD (en meses)</v>
          </cell>
          <cell r="J537"/>
          <cell r="K537"/>
        </row>
        <row r="538">
          <cell r="D538" t="str">
            <v>Smallest Economic sub-region</v>
          </cell>
          <cell r="E538" t="str">
            <v>Kleinste Sub-Region</v>
          </cell>
          <cell r="F538" t="str">
            <v>Provincia</v>
          </cell>
          <cell r="J538"/>
          <cell r="K538"/>
        </row>
        <row r="539">
          <cell r="D539"/>
          <cell r="E539"/>
          <cell r="F539"/>
          <cell r="J539"/>
          <cell r="K539"/>
        </row>
        <row r="540">
          <cell r="D540" t="str">
            <v>Principal Repayment Method</v>
          </cell>
          <cell r="E540" t="str">
            <v>Rückzahlungsprofil</v>
          </cell>
          <cell r="F540" t="str">
            <v>Método de amortización de principal</v>
          </cell>
          <cell r="J540"/>
          <cell r="K540"/>
        </row>
        <row r="541">
          <cell r="D541"/>
          <cell r="E541"/>
          <cell r="F541"/>
          <cell r="H541"/>
          <cell r="I541"/>
          <cell r="J541"/>
          <cell r="K541"/>
        </row>
        <row r="542">
          <cell r="D542" t="str">
            <v>Substitute Collateral</v>
          </cell>
          <cell r="E542" t="str">
            <v>Ersatzsicherheiten</v>
          </cell>
          <cell r="F542" t="str">
            <v>Colateral Complementario (no aplicable a Cédulas españolas)</v>
          </cell>
          <cell r="J542"/>
          <cell r="K542"/>
        </row>
        <row r="543">
          <cell r="D543"/>
          <cell r="E543"/>
          <cell r="J543"/>
          <cell r="K543"/>
        </row>
        <row r="544">
          <cell r="D544" t="str">
            <v>Overview Data</v>
          </cell>
          <cell r="E544" t="str">
            <v>Datenüberblick</v>
          </cell>
          <cell r="F544" t="str">
            <v>Resumen de Información</v>
          </cell>
          <cell r="J544"/>
          <cell r="K544"/>
        </row>
        <row r="545">
          <cell r="D545" t="str">
            <v>WA LOAN BALANCE:</v>
          </cell>
          <cell r="E545" t="str">
            <v>GEWICHTETER DURCHSCHNITTLICHER KREDITSALDO</v>
          </cell>
          <cell r="F545" t="str">
            <v>MEDIA PONDERADA del SALDO VIVO</v>
          </cell>
          <cell r="J545"/>
          <cell r="K545"/>
        </row>
        <row r="546">
          <cell r="D546" t="str">
            <v>NO. OF LOANS:</v>
          </cell>
          <cell r="E546" t="str">
            <v>ZAHL DER KREDITE</v>
          </cell>
          <cell r="F546" t="str">
            <v>Nº de Préstamos</v>
          </cell>
          <cell r="K546"/>
        </row>
        <row r="547">
          <cell r="D547" t="str">
            <v>Total LOAN BALANCE:</v>
          </cell>
          <cell r="E547" t="str">
            <v>Gesamter KREDITSALDO:</v>
          </cell>
          <cell r="F547" t="str">
            <v>Total SALDO VIVO DE PRÉSTAMOS:</v>
          </cell>
          <cell r="K547"/>
        </row>
        <row r="548">
          <cell r="D548"/>
          <cell r="E548"/>
          <cell r="F548"/>
          <cell r="K548"/>
        </row>
        <row r="549">
          <cell r="D549" t="str">
            <v>WA Interest Rate on Floating rate Loans (in %):</v>
          </cell>
          <cell r="E549" t="str">
            <v>Gewichteter Durchschnittszins für variabel verzinsliche Kredite (in %):</v>
          </cell>
          <cell r="F549" t="str">
            <v>TIPO DE INTERÉS MEDIO PONDERADO DE Préstamos a tipo variable:</v>
          </cell>
          <cell r="K549"/>
        </row>
        <row r="550">
          <cell r="D550" t="str">
            <v>WA MARGIN ON FLOATING RATE LOANS (in bps):</v>
          </cell>
          <cell r="E550" t="str">
            <v>GEWICHTETE DURCHSCHNITTLICHE MARGE FÜR VARIABEL VERZINSLICHE KREDITE (in bps):</v>
          </cell>
          <cell r="F550" t="str">
            <v>MARGEN MEDIO PONDERADO DE Préstamos a tipo variable:</v>
          </cell>
          <cell r="K550"/>
        </row>
        <row r="551">
          <cell r="D551" t="str">
            <v>WA Interest Rate on Floating rate Loans originated over last quarter prior to the REPORT DATE (in %):</v>
          </cell>
          <cell r="E551" t="str">
            <v>Gewichteter Durchschnittszins für variabel verzinsliche Kredite, die im letzten Quartal vor dem BERICHTSDATUM entstanden (in %):</v>
          </cell>
          <cell r="F551" t="str">
            <v>MARGEN MEDIO PONDERADO DE Préstamos a tipo variable originados en el trimestre anterior a la FECHA DEL INFORME:</v>
          </cell>
          <cell r="K551"/>
        </row>
        <row r="552">
          <cell r="D552"/>
          <cell r="E552"/>
          <cell r="F552"/>
          <cell r="K552"/>
        </row>
        <row r="553">
          <cell r="D553" t="str">
            <v>WA Interest Rate on Fixed rate Loans (in %):</v>
          </cell>
          <cell r="E553" t="str">
            <v>Gewichteter Durchschnittszins für fest verzinsliche Kredite (in %):</v>
          </cell>
          <cell r="F553" t="str">
            <v>TIPO DE INTERÉS MEDIO PONDERADO DE Préstamos a tipo fijo:</v>
          </cell>
          <cell r="K553"/>
        </row>
        <row r="554">
          <cell r="D554" t="str">
            <v>WA MARGIN ON FIXED RATE LOANS (in bps):</v>
          </cell>
          <cell r="E554" t="str">
            <v>GEWICHTETE DURCHSCHNITTLICHE MARGE FÜR FESTVERZINSLICHE KREDITE (in bps):</v>
          </cell>
          <cell r="F554" t="str">
            <v>MARGEN MEDIO PONDERADO DE Préstamos a tipo fijo:</v>
          </cell>
          <cell r="K554"/>
        </row>
        <row r="555">
          <cell r="D555" t="str">
            <v>WA Interest Rate on Floating rate Loans originated over last quarter prior to the REPORT DATE (in %):</v>
          </cell>
          <cell r="E555" t="str">
            <v>Gewichteter Durchschnittszins für fest verzinsliche Kredite, die im letzten Quartal vor dem BERICHTSDATUM entstanden (in %):</v>
          </cell>
          <cell r="F555" t="str">
            <v>MARGEN MEDIO PONDERADO DE Préstamos a tipo variable originados en el trimestre anterior a la FECHA DEL INFORME:</v>
          </cell>
          <cell r="K555"/>
        </row>
        <row r="556">
          <cell r="D556" t="str">
            <v>WA MARGIN ON FIXED RATE LOANS originated in last quarter prior to the REPORT DATE (in bps):</v>
          </cell>
          <cell r="E556" t="str">
            <v>GEWICHTETE DURCHSCHNITTLICHE MARGE FÜR FESTVERZINSLICHE KREDITE, die im letzten Quartal vor dem BERICHTSDATUM entstanden (in bps):</v>
          </cell>
          <cell r="F556" t="str">
            <v>MARGEN MEDIO PONDERADO DE Préstamos a tipo fijo en el trimestre anterior a la FECHA DEL INFORME:</v>
          </cell>
          <cell r="K556"/>
        </row>
        <row r="557">
          <cell r="D557"/>
          <cell r="E557"/>
          <cell r="K557"/>
        </row>
        <row r="558">
          <cell r="D558" t="str">
            <v>Instructions:</v>
          </cell>
          <cell r="E558" t="str">
            <v>Hinweise:</v>
          </cell>
          <cell r="F558" t="str">
            <v>Instrucciones:</v>
          </cell>
          <cell r="K558"/>
        </row>
        <row r="559">
          <cell r="D559"/>
          <cell r="E559"/>
          <cell r="F559"/>
          <cell r="K559"/>
        </row>
        <row r="560">
          <cell r="D560"/>
          <cell r="K560"/>
        </row>
        <row r="561">
          <cell r="D561" t="str">
            <v>Loan identifier number</v>
          </cell>
          <cell r="E561" t="str">
            <v>Identifikationsnummer Kredit</v>
          </cell>
          <cell r="F561" t="str">
            <v>Número de identificación del prestamo</v>
          </cell>
          <cell r="K561"/>
        </row>
        <row r="562">
          <cell r="D562" t="str">
            <v>Individual Information on Substitute Assets</v>
          </cell>
          <cell r="E562" t="str">
            <v>Daten zu einzelnen Ersatzsicherheiten</v>
          </cell>
          <cell r="F562" t="str">
            <v>Información individual sobre el Colateral Adicional</v>
          </cell>
          <cell r="K562"/>
        </row>
        <row r="563">
          <cell r="D563" t="str">
            <v>DEBTOR Name</v>
          </cell>
          <cell r="E563" t="str">
            <v>Name des SCHULDNERS</v>
          </cell>
          <cell r="F563" t="str">
            <v>Nombre del DEUDOR</v>
          </cell>
          <cell r="K563"/>
        </row>
        <row r="564">
          <cell r="D564" t="str">
            <v>DEBTOR identifier number</v>
          </cell>
          <cell r="E564" t="str">
            <v>Identifikationsnummer SCHULDNER</v>
          </cell>
          <cell r="F564" t="str">
            <v>Número de identificación del DEUDOR</v>
          </cell>
          <cell r="K564"/>
        </row>
        <row r="565">
          <cell r="D565" t="str">
            <v xml:space="preserve">Numeric reference number. </v>
          </cell>
          <cell r="E565" t="str">
            <v xml:space="preserve">Numerische Referenznummer. </v>
          </cell>
          <cell r="F565" t="str">
            <v>Número de Referencia interno</v>
          </cell>
          <cell r="K565"/>
        </row>
        <row r="566">
          <cell r="D566" t="str">
            <v>DEBTOR classification</v>
          </cell>
          <cell r="E566" t="str">
            <v>Klassifizierung des SCHULDNERS</v>
          </cell>
          <cell r="F566" t="str">
            <v>Clasificación del DEUDOR</v>
          </cell>
          <cell r="K566"/>
        </row>
        <row r="567">
          <cell r="D567" t="str">
            <v>For list below consider LOANS as either loans, bonds or other debt instrument</v>
          </cell>
          <cell r="E567" t="str">
            <v/>
          </cell>
          <cell r="F567" t="str">
            <v>En las siguientes listas considérese PRÉSTAMOS, tanto créditos, préstamos, bonos  o cualquier otro instrumento de deuda</v>
          </cell>
          <cell r="K567"/>
        </row>
        <row r="568">
          <cell r="D568" t="str">
            <v>Country in which DEBTOR is based</v>
          </cell>
          <cell r="E568" t="str">
            <v>Land, in dem der SCHULDNER ansässig ist</v>
          </cell>
          <cell r="F568" t="str">
            <v>País del DEUDOR</v>
          </cell>
          <cell r="K568"/>
        </row>
        <row r="569">
          <cell r="D569" t="str">
            <v>Region in which DEBTOR is based</v>
          </cell>
          <cell r="E569" t="str">
            <v>Region des SCHULDNERS</v>
          </cell>
          <cell r="F569" t="str">
            <v>Región del DEUDOR</v>
          </cell>
          <cell r="K569"/>
        </row>
        <row r="570">
          <cell r="D570" t="str">
            <v>If not relevant type "NA"</v>
          </cell>
          <cell r="E570" t="str">
            <v>"NA", falls nicht zutreffend</v>
          </cell>
          <cell r="F570" t="str">
            <v>Si no es relevante, escribir "n/a"</v>
          </cell>
          <cell r="K570"/>
        </row>
        <row r="571">
          <cell r="D571" t="str">
            <v>Substitute Asset identifier number</v>
          </cell>
          <cell r="E571" t="str">
            <v>Identifikationsnummer Ersatzsicherheit</v>
          </cell>
          <cell r="F571" t="str">
            <v>Núm. De ifentificación aCtivo adicional</v>
          </cell>
          <cell r="K571"/>
        </row>
        <row r="572">
          <cell r="D572" t="str">
            <v>Internal reference number</v>
          </cell>
          <cell r="E572" t="str">
            <v xml:space="preserve">Numerische Referenznummer. </v>
          </cell>
          <cell r="F572" t="str">
            <v>Número de Referencia interno</v>
          </cell>
          <cell r="K572"/>
        </row>
        <row r="573">
          <cell r="D573" t="str">
            <v>Currency of Substitute Asset</v>
          </cell>
          <cell r="E573" t="str">
            <v>Währung des Kredits</v>
          </cell>
          <cell r="F573" t="str">
            <v>DIVISA del PRÉSTAMO</v>
          </cell>
          <cell r="K573"/>
        </row>
        <row r="574">
          <cell r="D574" t="str">
            <v>Substitute Asset balance - 1</v>
          </cell>
          <cell r="E574" t="str">
            <v>KREDITSALDO</v>
          </cell>
          <cell r="F574" t="str">
            <v>SALDO VIVO DEL PRÉSTAMO-1</v>
          </cell>
          <cell r="K574"/>
        </row>
        <row r="575">
          <cell r="D575" t="str">
            <v>The notional balance at the REPORT DATE of the substitute asset in the currency in which the DEBTOR is based (use the exchange rates as per CURRENCY CONVERSION as required)</v>
          </cell>
          <cell r="E575" t="str">
            <v>Aktueller Nominalwert der Ersatzsicherheit zum BERICHTSDATUM in der Währung des Landes des SCHULDNERS.  Umrechnungskurs gemäß WÄHRUNGSUMRECHNUNG.</v>
          </cell>
          <cell r="F575" t="str">
            <v>Valor nominal a FECHA DE INFORME del activo adicional en la divisa en la que se encuentre el DEUDOR (utilizar los tipos de cambios según CONVERSIÓN DE DIVISA)</v>
          </cell>
          <cell r="K575"/>
        </row>
        <row r="576">
          <cell r="D576" t="str">
            <v>Substitute Asset balance - 2</v>
          </cell>
          <cell r="E576" t="str">
            <v>KREDITSALDO (in der STANDARDWÄHRUNG, vgl. WÄHRUNGSUMRECHUNG)</v>
          </cell>
          <cell r="F576" t="str">
            <v>SALDO VIVO DEL PRÉSTAMO-2</v>
          </cell>
          <cell r="K576"/>
        </row>
        <row r="577">
          <cell r="D577" t="str">
            <v>The current notional balance of the substitute asset in the currency of the substitute asset</v>
          </cell>
          <cell r="E577" t="str">
            <v>Aktueller Nominalwert der Ersatzsicherheit in der Währung des Landes, in dem sich die Ersatzsicherheit befindet.</v>
          </cell>
          <cell r="F577" t="str">
            <v>Valor nominal actual del activo adicional en la divisa en que se encuentre denominado</v>
          </cell>
          <cell r="K577"/>
        </row>
        <row r="578">
          <cell r="D578" t="str">
            <v>Maturity date (mm/dd/yyyy)</v>
          </cell>
          <cell r="E578" t="str">
            <v>Fälligkeitsdatum (MM/TT/JJJJ)</v>
          </cell>
          <cell r="F578" t="str">
            <v>Fecha de Vencimiento (dd/mm/aaaa)</v>
          </cell>
          <cell r="K578"/>
        </row>
        <row r="579">
          <cell r="D579" t="str">
            <v>Principal Repayment Method</v>
          </cell>
          <cell r="E579" t="str">
            <v>Rückzahlungsprofil</v>
          </cell>
          <cell r="F579" t="str">
            <v>Tipo de amortización del principal</v>
          </cell>
          <cell r="J579"/>
          <cell r="K579"/>
        </row>
        <row r="580">
          <cell r="D580" t="str">
            <v>INTEREST RATE TYPE</v>
          </cell>
          <cell r="E580" t="str">
            <v>ZINSTYP</v>
          </cell>
          <cell r="F580" t="str">
            <v>CLASE DE TIPO DE INTERÉS</v>
          </cell>
          <cell r="J580"/>
          <cell r="K580"/>
        </row>
        <row r="581">
          <cell r="D581" t="str">
            <v>If interest on Substitute Asset is fixed, fixed interest rate (in %)</v>
          </cell>
          <cell r="E581" t="str">
            <v>Feste Verzinsung in % (falls zutreffend)</v>
          </cell>
          <cell r="F581" t="str">
            <v>Si el tipo de interés del activo adicional es fijo, tipo de interés fijo (en 5)</v>
          </cell>
          <cell r="J581"/>
          <cell r="K581"/>
        </row>
        <row r="582">
          <cell r="D582" t="str">
            <v>After any hedges if applicable. Only complete for fixed interest loans.</v>
          </cell>
          <cell r="E582" t="str">
            <v>Nach Hedging, falls zutreffend. Nur für festverzinsliche Kredite ausfüllen.</v>
          </cell>
          <cell r="F582" t="str">
            <v>Después de aplicar derivados. Sólo completar para préstamos a tipo fijo</v>
          </cell>
          <cell r="J582"/>
          <cell r="K582"/>
        </row>
        <row r="583">
          <cell r="D583" t="str">
            <v>WA MARGIN ON FIXED RATE Substitute Asset (in bps)</v>
          </cell>
          <cell r="E583" t="str">
            <v>GEWICHTETE DURCHSCHNITTLICHE MARGE für fest verzinsliche Ersatzsicherheiten (in bps)</v>
          </cell>
          <cell r="F583" t="str">
            <v>Margen Medio Ponderado para Activos adicionales a tipo fijo (en bps)</v>
          </cell>
          <cell r="J583"/>
          <cell r="K583"/>
        </row>
        <row r="584">
          <cell r="D584" t="str">
            <v>See Definitions sheet. After any hedges if applicable. Only complete for fixed rate loans</v>
          </cell>
          <cell r="E584" t="str">
            <v>Vgl. Tabellenblatt "Definitions". Nach Sicherungsgeschäften, falls zutreffend. Nur für festverzinsliche Kredite ausfüllen.</v>
          </cell>
          <cell r="F584" t="str">
            <v>Ver la hoja de Definiciones. Después de aplicar derivados. Sólo completar para préstamos a tipo fijo.</v>
          </cell>
          <cell r="J584"/>
          <cell r="K584"/>
        </row>
        <row r="585">
          <cell r="D585" t="str">
            <v>WA MARGIN ON FLOATING RATE Substitute Asset (in bps)</v>
          </cell>
          <cell r="E585" t="str">
            <v>GEWICHTETE DURCHSCHNITTLICHE MARGE für variabel verzinsliche Ersatzsicherheiten (in bps)</v>
          </cell>
          <cell r="F585" t="str">
            <v>Margen Medio Ponderado para Activos adicionales a tipo variable (en bps)</v>
          </cell>
          <cell r="J585"/>
          <cell r="K585"/>
        </row>
        <row r="586">
          <cell r="D586" t="str">
            <v>After any hedges if applicable. Margin over BASIS (see Definitions sheet). Only complete for floating rate loans</v>
          </cell>
          <cell r="E586" t="str">
            <v>Nach Sicherungsgeschäften, falls zutreffend.  Marge über BASISZINS (Vgl. Tabellenblatt "Definitions"). Nur für variabel verzinsliche Kredite ausfüllen.</v>
          </cell>
          <cell r="F586" t="str">
            <v>Después de aplicar derivados (no en caso de Cédulas). Margen sobre la BASE (ver la hoja de "Definitions"). Sólo completar para préstamos a tipo variable</v>
          </cell>
          <cell r="H586"/>
          <cell r="I586"/>
          <cell r="J586"/>
          <cell r="K586"/>
        </row>
        <row r="587">
          <cell r="D587" t="str">
            <v>Repo-eligible with Central Bank</v>
          </cell>
          <cell r="E587" t="str">
            <v>Zugelassen für Repo-Geschäfte mit der Zentralbank</v>
          </cell>
          <cell r="F587" t="str">
            <v>Elegible en operaciones de REPO con BCE</v>
          </cell>
          <cell r="J587"/>
          <cell r="K587"/>
        </row>
        <row r="588">
          <cell r="D588" t="str">
            <v>Substitute Asset performing</v>
          </cell>
          <cell r="E588" t="str">
            <v>Ordnungsgemäße Bedienung der Ersatzsicherheit</v>
          </cell>
          <cell r="F588" t="str">
            <v>Activos adicionales al corriente de pago</v>
          </cell>
          <cell r="J588"/>
          <cell r="K588"/>
        </row>
        <row r="589">
          <cell r="D589" t="str">
            <v>In options below, BPI stands for Bankrutcy Proceeding Initiated, and Fce for Foreclosure</v>
          </cell>
          <cell r="E589" t="str">
            <v xml:space="preserve"> </v>
          </cell>
          <cell r="F589" t="str">
            <v>En las opciones siguientes, "IC" significa inicio del procedimiento consursal, y "Ejec", ejecución</v>
          </cell>
          <cell r="J589"/>
          <cell r="K589"/>
        </row>
        <row r="590">
          <cell r="D590" t="str">
            <v>Moody's Rating on Substitute Asset</v>
          </cell>
          <cell r="E590" t="str">
            <v>Ersatzsicherheit: Rating von Moody's</v>
          </cell>
          <cell r="F590" t="str">
            <v>Rating según Moody's</v>
          </cell>
          <cell r="K590"/>
        </row>
        <row r="591">
          <cell r="D591" t="str">
            <v>S&amp;P Rating on Substitute Asset</v>
          </cell>
          <cell r="E591" t="str">
            <v>Ersatzsicherheit: Rating von S&amp;P</v>
          </cell>
          <cell r="F591" t="str">
            <v>Rating según S&amp;P</v>
          </cell>
          <cell r="K591"/>
        </row>
        <row r="592">
          <cell r="D592" t="str">
            <v>Fitch Rating on Substitute Asset</v>
          </cell>
          <cell r="E592" t="str">
            <v>Ersatzsicherheit: Rating von Fitch</v>
          </cell>
          <cell r="F592" t="str">
            <v>Rating según Fitch</v>
          </cell>
          <cell r="K592"/>
        </row>
        <row r="593">
          <cell r="D593" t="str">
            <v>Substitute Asset internal rating</v>
          </cell>
          <cell r="E593" t="str">
            <v>INTERNES RATING Ersatzsicherheit</v>
          </cell>
          <cell r="F593" t="str">
            <v>Rating Interno</v>
          </cell>
          <cell r="K593"/>
        </row>
        <row r="594">
          <cell r="D594" t="str">
            <v>Moody's Rating on Substitute Asset Sponsor</v>
          </cell>
          <cell r="E594" t="str">
            <v>Moody's Rating Ersatzsicherheit Sponsor</v>
          </cell>
          <cell r="F594" t="str">
            <v>Rating según Moody's del garante</v>
          </cell>
          <cell r="K594"/>
        </row>
        <row r="595">
          <cell r="D595" t="str">
            <v>S&amp;P Rating on Substitute Asset Sponsor</v>
          </cell>
          <cell r="E595" t="str">
            <v>S&amp;P Rating Ersatzsicherheit Sponsor</v>
          </cell>
          <cell r="F595" t="str">
            <v>Rating según S&amp;P del garante</v>
          </cell>
          <cell r="J595"/>
          <cell r="K595"/>
        </row>
        <row r="596">
          <cell r="D596" t="str">
            <v>Fitch Rating on Substitute Asset Sponsor</v>
          </cell>
          <cell r="E596" t="str">
            <v>Fitch Rating Ersatzsicherheit Sponsor</v>
          </cell>
          <cell r="F596" t="str">
            <v>Rating según Fitch del garante</v>
          </cell>
          <cell r="J596"/>
          <cell r="K596"/>
        </row>
        <row r="597">
          <cell r="D597" t="str">
            <v>Internal Substitute Asset Sponsor Rating</v>
          </cell>
          <cell r="E597" t="str">
            <v>INTERNES RATING Ersatzsicherheit Sponsor</v>
          </cell>
          <cell r="F597" t="str">
            <v>Rating interno del garante</v>
          </cell>
          <cell r="J597"/>
          <cell r="K597"/>
        </row>
        <row r="598">
          <cell r="D598" t="str">
            <v>Is Substitute Asset also backed by a mortgage?</v>
          </cell>
          <cell r="E598" t="str">
            <v>Ist Ersatzsicherheit wiederum durch eine Hypothek besichert?</v>
          </cell>
          <cell r="F598" t="str">
            <v>¿Tiene garantía hipotecaria?</v>
          </cell>
          <cell r="J598"/>
          <cell r="K598"/>
        </row>
        <row r="599">
          <cell r="D599" t="str">
            <v>LTV (%)</v>
          </cell>
          <cell r="E599" t="str">
            <v>BELEIHUNGSQUOTE des Kredits (%)</v>
          </cell>
          <cell r="F599" t="str">
            <v>LTV (%)</v>
          </cell>
          <cell r="J599"/>
          <cell r="K599"/>
        </row>
        <row r="600">
          <cell r="D600" t="str">
            <v>Where Loan is also backed by a mortgage, what is LTV of Loan, and if no mortgage, then "NA"</v>
          </cell>
          <cell r="E600" t="str">
            <v>Wenn der Kredit durch eine Hypothek besichert ist, bitte die BELEIHUNGSQUOTE des Kredits angeben; wenn keine Hypothek vorhanden ist, tragen Sie "NA" ein.</v>
          </cell>
          <cell r="F600" t="str">
            <v>Si está garantizado por hipoteca, ¿cuál es el LTV?, y si no está"n/a"</v>
          </cell>
          <cell r="J600"/>
          <cell r="K600"/>
        </row>
        <row r="601">
          <cell r="D601"/>
          <cell r="E601"/>
          <cell r="F601"/>
          <cell r="J601"/>
          <cell r="K601"/>
        </row>
        <row r="602">
          <cell r="D602"/>
          <cell r="E602"/>
          <cell r="F602"/>
          <cell r="J602"/>
          <cell r="K602"/>
        </row>
        <row r="603">
          <cell r="D603"/>
          <cell r="E603"/>
          <cell r="F603"/>
          <cell r="J603"/>
          <cell r="K603"/>
        </row>
        <row r="604">
          <cell r="D604"/>
          <cell r="E604"/>
          <cell r="F604"/>
          <cell r="J604"/>
          <cell r="K604"/>
        </row>
        <row r="605">
          <cell r="D605"/>
          <cell r="E605"/>
          <cell r="F605"/>
          <cell r="J605"/>
          <cell r="K605"/>
        </row>
        <row r="606">
          <cell r="D606"/>
          <cell r="E606"/>
          <cell r="F606"/>
          <cell r="J606"/>
          <cell r="K606"/>
        </row>
        <row r="607">
          <cell r="D607"/>
          <cell r="E607"/>
          <cell r="F607"/>
          <cell r="J607"/>
          <cell r="K607"/>
        </row>
        <row r="608">
          <cell r="D608"/>
          <cell r="E608"/>
          <cell r="F608"/>
          <cell r="J608"/>
          <cell r="K608"/>
        </row>
        <row r="609">
          <cell r="D609"/>
          <cell r="E609"/>
          <cell r="F609"/>
          <cell r="J609"/>
          <cell r="K609"/>
        </row>
        <row r="610">
          <cell r="D610"/>
          <cell r="E610"/>
          <cell r="F610"/>
          <cell r="J610"/>
          <cell r="K610"/>
        </row>
        <row r="611">
          <cell r="D611"/>
          <cell r="E611"/>
          <cell r="F611"/>
          <cell r="J611"/>
          <cell r="K611"/>
        </row>
        <row r="612">
          <cell r="D612"/>
          <cell r="E612"/>
          <cell r="F612"/>
          <cell r="J612"/>
          <cell r="K612"/>
        </row>
        <row r="613">
          <cell r="D613"/>
          <cell r="E613"/>
          <cell r="F613"/>
          <cell r="J613"/>
          <cell r="K613"/>
        </row>
        <row r="614">
          <cell r="D614"/>
          <cell r="E614"/>
          <cell r="F614"/>
          <cell r="J614"/>
          <cell r="K614"/>
        </row>
        <row r="615">
          <cell r="D615"/>
          <cell r="E615"/>
          <cell r="F615"/>
          <cell r="J615"/>
          <cell r="K615"/>
        </row>
        <row r="616">
          <cell r="D616"/>
          <cell r="E616"/>
          <cell r="F616"/>
          <cell r="J616"/>
          <cell r="K616"/>
        </row>
        <row r="617">
          <cell r="D617"/>
          <cell r="F617"/>
          <cell r="J617"/>
          <cell r="K617"/>
        </row>
        <row r="618">
          <cell r="D618"/>
          <cell r="J618"/>
          <cell r="K618"/>
        </row>
        <row r="619">
          <cell r="D619"/>
          <cell r="E619"/>
          <cell r="F619"/>
          <cell r="H619"/>
          <cell r="I619"/>
          <cell r="J619"/>
          <cell r="K619"/>
        </row>
        <row r="620">
          <cell r="D620" t="str">
            <v>Hedging (1)</v>
          </cell>
          <cell r="E620" t="str">
            <v>Hedging (1)</v>
          </cell>
          <cell r="F620" t="str">
            <v>Hedging(1)</v>
          </cell>
          <cell r="J620"/>
          <cell r="K620"/>
        </row>
        <row r="621">
          <cell r="D621"/>
          <cell r="E621"/>
          <cell r="F621"/>
          <cell r="J621"/>
          <cell r="K621"/>
        </row>
        <row r="622">
          <cell r="D622" t="str">
            <v>1. Overview - Hedging (1) page</v>
          </cell>
          <cell r="E622" t="str">
            <v xml:space="preserve">1. Überblick - Tabellenblatt Hedging (1) </v>
          </cell>
          <cell r="F622" t="str">
            <v>1. Resumen- Hoja Hedging(1)</v>
          </cell>
          <cell r="J622"/>
          <cell r="K622"/>
        </row>
        <row r="623">
          <cell r="D623" t="str">
            <v>2. Swap by Swap - Hedging (2) page</v>
          </cell>
          <cell r="E623" t="str">
            <v xml:space="preserve">2. Einzelne Swaps - Tabellenblatt Heging(2) </v>
          </cell>
          <cell r="F623" t="str">
            <v>2. Información de Swaps- Hoja Hedging(2)</v>
          </cell>
          <cell r="J623"/>
          <cell r="K623"/>
        </row>
        <row r="624">
          <cell r="D624" t="str">
            <v>3. Cashflow analysis - Hedging (3) page</v>
          </cell>
          <cell r="E624" t="str">
            <v xml:space="preserve">3. Cashflow-Analyse - Tabellenblatt Hedging(3) </v>
          </cell>
          <cell r="F624" t="str">
            <v>3. Análisis de Cashflows - Hoja Hedging(3)</v>
          </cell>
          <cell r="J624"/>
          <cell r="K624"/>
        </row>
        <row r="625">
          <cell r="D625" t="str">
            <v>Instructions:</v>
          </cell>
          <cell r="E625" t="str">
            <v>Hinweise:</v>
          </cell>
          <cell r="F625" t="str">
            <v>Instrucciones:</v>
          </cell>
          <cell r="J625"/>
          <cell r="K625"/>
        </row>
        <row r="626">
          <cell r="D626" t="str">
            <v>- Currency swaps as referred in columns R to AA should include only QUALIFYING SWAPs</v>
          </cell>
          <cell r="E626" t="str">
            <v>- Währungsswaps in den Spalten R bis AA umfassen nur QUALIFIZIERTE SWAPS.</v>
          </cell>
          <cell r="F626"/>
          <cell r="J626"/>
          <cell r="K626"/>
        </row>
        <row r="627">
          <cell r="D627" t="str">
            <v>- all four tables below should be completed by all Issuers</v>
          </cell>
          <cell r="E627" t="str">
            <v>- bitte alle vier Tabellenausfüllen</v>
          </cell>
          <cell r="F627" t="str">
            <v>- Las cuatro tablas a continuación deben ser completadas por cualquier Emisor</v>
          </cell>
          <cell r="J627"/>
          <cell r="K627"/>
        </row>
        <row r="628">
          <cell r="D628" t="str">
            <v>- the amounts below should cover all Assets, i.e. include residential, commercial, public sector, and substitute collateral. The figures should be consistent with the amounts reported in the sheet "CB Programme Overview".</v>
          </cell>
          <cell r="E628" t="str">
            <v>- die Salden sollten alle Vermögenswerte - d.h. Hypotheken für Wohnimmobilien, Hypotheken für gewerblich genutzte Immobilien, öffentliche Kredite und Ersatzsicherheiten - einbeziehen; bitte Konsistenz mit Tabellenblatt "CB Programme Overview" beachten.</v>
          </cell>
          <cell r="F628" t="str">
            <v>- El análisis debe tener en cuenta toda las CLASES de ACTIVOS, es decir residenciales y comerciales para el caso de Cédulas Hipotecarias  y del Sector Público en caso de Cédulas Territoriales</v>
          </cell>
          <cell r="J628"/>
          <cell r="K628"/>
        </row>
        <row r="629">
          <cell r="D629" t="str">
            <v>- exclude all caps and floors from the swap analysis below</v>
          </cell>
          <cell r="E629" t="str">
            <v>- bei der Swap-Analyse sind Caps und Floors nicht zu berücksichtigen</v>
          </cell>
          <cell r="F629" t="str">
            <v>-Exclúyanse los caps y floor del análisis de swap</v>
          </cell>
          <cell r="J629"/>
          <cell r="K629"/>
        </row>
        <row r="630">
          <cell r="D630" t="str">
            <v>- data on this sheet should be entered in the currency of the assets or covered bonds entered in column "A"</v>
          </cell>
          <cell r="E630" t="str">
            <v>- alle Daten auf diesem Tabellenblatt sollten in der Währung der Darlehen oder Gedeckten Schuldverschreibungen in Spalte A eingegeben werden</v>
          </cell>
          <cell r="F630" t="str">
            <v>-La información en esta hoja debe rellenarse en la divisa de los activos o de los covered bonds que se han especificado en la columna "A"</v>
          </cell>
          <cell r="J630"/>
          <cell r="K630"/>
        </row>
        <row r="631">
          <cell r="D631" t="str">
            <v>- for first 2 tables enter separate row for each different currency of a loan. Similarly, for tables 3 and 4 enter a separate row for each different currency in which CB issued in. Should the programme include more than 9 currencies, please report the main 8 currencies and aggregate the remainder in the ninth row.</v>
          </cell>
          <cell r="E631" t="str">
            <v>- ein Zeile pro Swapwährung eines Darlehens bzw. Schuldverschreibung (siehe auch Anmerkung in der Spalte "Swapwährung"). Sollte das Programm &gt;9 Währungen haben, bitte die acht Hauptwährungen angeben und weitere Währungen aggregieren.</v>
          </cell>
          <cell r="F631" t="str">
            <v>-En las dos primeras tablas rellenar una fila por divisa de los activos. De igual manera, para las tablas 3 y 4, rellenar cada fila por la divisa de los pasivos emitidos.</v>
          </cell>
          <cell r="J631"/>
          <cell r="K631"/>
        </row>
        <row r="632">
          <cell r="D632" t="str">
            <v>Analysis of fixed rate Assets in the COVER POOL: Split by currency of Assets. Assets which reset within the next 12 months should be reported as floating.</v>
          </cell>
          <cell r="E632" t="str">
            <v>Analyse FESTVERZINSLICHER VERMÖGENSWERTE in der DECKUNGSMASSE: Aufteilung nach der Währung der Vermögenswerte. Festverzinsliche mit Zinsanpassungstermin in den naechsten 12 Monaten gelten als variabel und sollten in der unteren Tabelle angegeben werden.</v>
          </cell>
          <cell r="F632" t="str">
            <v>Análisis de los Activos a tipo fijo en la CARTERA SUBYACENTE: Distribuido por la divisa de los Activos</v>
          </cell>
          <cell r="J632"/>
          <cell r="K632"/>
        </row>
        <row r="633">
          <cell r="D633" t="str">
            <v>Currency</v>
          </cell>
          <cell r="E633" t="str">
            <v>Währung</v>
          </cell>
          <cell r="F633" t="str">
            <v xml:space="preserve">Divisa  </v>
          </cell>
          <cell r="J633"/>
          <cell r="K633"/>
        </row>
        <row r="634">
          <cell r="D634" t="str">
            <v>Currency of Assets in COVER POOL</v>
          </cell>
          <cell r="E634" t="str">
            <v>Währung der Vermögenswerte in der DECKUNGSMASSE</v>
          </cell>
          <cell r="F634" t="str">
            <v>Divisa de lso activos en la CARTERA SUBYACENTE</v>
          </cell>
          <cell r="J634"/>
          <cell r="K634"/>
        </row>
        <row r="635">
          <cell r="D635" t="str">
            <v>LOAN BALANCE</v>
          </cell>
          <cell r="E635" t="str">
            <v>KREDITSALDO</v>
          </cell>
          <cell r="F635" t="str">
            <v>Valor</v>
          </cell>
          <cell r="J635"/>
          <cell r="K635"/>
        </row>
        <row r="636">
          <cell r="D636" t="str">
            <v>LOAN BALANCE of Loans in COVER POOL</v>
          </cell>
          <cell r="E636" t="str">
            <v>KREDITSALDO der Kredite in der DECKUNGSMASSE</v>
          </cell>
          <cell r="F636" t="str">
            <v>Valor de los Préstamos en la CARTERA SUBYACENTE</v>
          </cell>
          <cell r="J636"/>
          <cell r="K636"/>
        </row>
        <row r="637">
          <cell r="D637" t="str">
            <v>AVERAGE LIFE of Fixed period  (stressed)</v>
          </cell>
          <cell r="E637" t="str">
            <v>Durchschnittlicher Festlegungszeitraum (unter Stress)</v>
          </cell>
          <cell r="F637" t="str">
            <v>VIDA MEDIA del Periodo a Tipo Fijo (estresado)</v>
          </cell>
          <cell r="J637"/>
          <cell r="K637"/>
        </row>
        <row r="638">
          <cell r="D638" t="str">
            <v>AVERAGE LIFE of fixed rate Assets considering the FIX PERIOD of these Assets, where FIX PERIOD should be calculated assuming no PREPAYMENT received on these Assets. In years (e.g. 4.3).</v>
          </cell>
          <cell r="E638" t="str">
            <v>DURCHSCHNITTLICHE RESTLAUFZEIT fest verzinslicher Vermögenswerte unter Berücksichtigung des Festlegungszeitraums der Zinsen für diese Vermögenswerte; die ZINSBINDUNGSFRIST ist unter der Annahme zu berechnen, dass auf diese Vermögenswerte keine VORZEITIGE ZAHLUNGEN erfolgen. In Jahren (z.B. 4.3).</v>
          </cell>
          <cell r="F638" t="str">
            <v>VIDA MEDIA de los activos a tipo fijo, considerando el PERIODO A TIPO FIJO de los Activos, calculando dicho periodo sin asumir un NIVEL DE PREPAGOS de los Activos. (por ejemplo: 4.3)</v>
          </cell>
          <cell r="J638"/>
          <cell r="K638"/>
        </row>
        <row r="639">
          <cell r="D639" t="str">
            <v>AVERAGE LIFE of Fixed Period (expected)</v>
          </cell>
          <cell r="E639" t="str">
            <v>Durchschnittlicher Festlegungszeitraum (erwartet)</v>
          </cell>
          <cell r="F639" t="str">
            <v>VIDA MEDIA del Periodo a Tipo Fijo (esperado)</v>
          </cell>
          <cell r="J639"/>
          <cell r="K639"/>
        </row>
        <row r="640">
          <cell r="D640" t="str">
            <v>AVERAGE LIFE of fixed rate Assets considering the FIX PERIOD of these Assets, where FIX PERIOD should be calculated assuming the ASSUMED PREPAYMENT LEVEL received on these Assets. In years (e.g. 3.9).</v>
          </cell>
          <cell r="E640" t="str">
            <v>DURCHSCHNITTLICHE RESTLAUFZEIT fest verzinslicher Vermögenswerte unter Berücksichtigung des Festlegungszeitraums der Zinsen für diese Vermögenswerte; die ZINSBINDUNGSFRIST ist unter der Annahme zu berechnen, dass die angenommenen VORZEITIGEN ZAHLUNGEN auf diese Vermögenswerte geleistet werden. In Jahren (z.B. 3.9).</v>
          </cell>
          <cell r="F640" t="str">
            <v>VIDA MEDIA de los activos a tipo fijo, considerando el PERIODO A TIPO FIJO de los Activos, calculando dicho periodo considerando el NIVEL DE PREPAGOS ASUMIDO de los Activos. (por ejemplo: 3.9)</v>
          </cell>
          <cell r="J640"/>
          <cell r="K640"/>
        </row>
        <row r="641">
          <cell r="D641" t="str">
            <v>AVERAGE LIFE OF ASSETS (stressed)</v>
          </cell>
          <cell r="E641" t="str">
            <v>DURCHSCHNITTLICHE RESTLAUFZEIT DER VERMÖGENSWERTE (unter Stress)</v>
          </cell>
          <cell r="F641" t="str">
            <v>VIDA MEDIA DE LOS ACTIVOS (Estresada)</v>
          </cell>
          <cell r="J641"/>
          <cell r="K641"/>
        </row>
        <row r="642">
          <cell r="D642" t="str">
            <v>AVERAGE LIFE OF ASSETS (here: fixed assets) calculated assuming no PREPAYMENT received on these Assets. In years (e.g. 15.1).</v>
          </cell>
          <cell r="E642" t="str">
            <v>DURCHSCHNITTLICHE RESTLAUFZEIT DER VERMÖGENSWERTE (hier: der festverzinslichen), berechnet unter der Annahme, dass keine VORZEITIGEN ZAHLUNGEN auf die Vermögenswerte geleistet werden. In Jahren (z.B. 15.1).</v>
          </cell>
          <cell r="F642" t="str">
            <v>VIDA MEDIA de los activos sin asumir un NIVEL DE PREPAGOS de los Activos. (por ejemplo: 15.1)</v>
          </cell>
          <cell r="J642"/>
          <cell r="K642"/>
        </row>
        <row r="643">
          <cell r="D643" t="str">
            <v>AVERAGE LIFE OF ASSETS (expected)</v>
          </cell>
          <cell r="E643" t="str">
            <v>DURCHSCHNITTLICHE RESTLAUFZEIT DER VERMÖGENSWERTE (erwartet)</v>
          </cell>
          <cell r="F643" t="str">
            <v>VIDA MEDIA DE LOS ACTIVOS (Esperada)</v>
          </cell>
          <cell r="J643"/>
          <cell r="K643"/>
        </row>
        <row r="644">
          <cell r="D644" t="str">
            <v>AVERAGE LIFE OF ASSETS (here: fixed assets) calculated assuming the ASSUMED PREPAYMENT LEVEL received on these Assets. In years (e.g. 12.9).</v>
          </cell>
          <cell r="E644" t="str">
            <v>DURCHSCHNITTLICHE RESTLAUFZEIT DER VERMÖGENSWERTE (hier: der festverzinslichen), berechnet unter der Annahme, dass die ANGENOMMENEN VORZEITIGEN ZAHLUNGEN auf die Vermögenswerte geleistet werden. In Jahren (z.B. 12.9).</v>
          </cell>
          <cell r="F644" t="str">
            <v>VIDA MEDIA de los activos considerando un NIVEL DE PREPAGOS ASUMIDO de los Activos. (por ejemplo: 12.9)</v>
          </cell>
          <cell r="J644"/>
          <cell r="K644"/>
        </row>
        <row r="645">
          <cell r="D645" t="str">
            <v>Interest Rate pre swaps</v>
          </cell>
          <cell r="E645" t="str">
            <v>Zinssatz vor Swaps</v>
          </cell>
          <cell r="F645" t="str">
            <v>TIPO de Interés pre swaps</v>
          </cell>
          <cell r="J645"/>
          <cell r="K645"/>
        </row>
        <row r="646">
          <cell r="D646" t="str">
            <v>WA interest rate on fixed rate assets in COVER POOL excluding the impact of swaps (in %)</v>
          </cell>
          <cell r="E646" t="str">
            <v>Gewichteter durchschnittlicher Zinssatz der fest verzinslichen Vermögenswerte der DECKUNGSMASSE ohne die Auswirkungen von Swaps (in %)</v>
          </cell>
          <cell r="F646" t="str">
            <v>Tipo de Interés Medio Ponderado de los préstamos a tipo fijo en la CARTERA SUBYACENTE excluyendo el impacto de swaps</v>
          </cell>
          <cell r="J646"/>
          <cell r="K646"/>
        </row>
        <row r="647">
          <cell r="D647" t="str">
            <v>Interest Rate post swaps</v>
          </cell>
          <cell r="E647" t="str">
            <v>Zinssatz nach Swaps</v>
          </cell>
          <cell r="F647" t="str">
            <v>TIPO de Interés post swaps</v>
          </cell>
          <cell r="J647"/>
          <cell r="K647"/>
        </row>
        <row r="648">
          <cell r="D648" t="str">
            <v>WA interest rate on fixed rate assets in COVER POOL including the impact of swaps (in %)</v>
          </cell>
          <cell r="E648" t="str">
            <v>Gewichteter durchschnittlicher Zinssatz der fest verzinslichen Vermögenswerte der DECKUNGSMASSE einschließlich der Auswirkungen von Swaps (in %)</v>
          </cell>
          <cell r="F648" t="str">
            <v>Tipo de Interés Medio Ponderado de los préstamos a tipo fijo en la CARTERA SUBYACENTE incluyendo el impacto de swaps (no aplicable para Cédulas españolas)</v>
          </cell>
          <cell r="J648"/>
          <cell r="K648"/>
        </row>
        <row r="649">
          <cell r="D649" t="str">
            <v>Notional Interest % Swapped (stressed)</v>
          </cell>
          <cell r="E649" t="str">
            <v>Geswapter Nominalzins in % (unter Stress)</v>
          </cell>
          <cell r="F649" t="str">
            <v>Nocional cubierto por IRS en % (estresado)</v>
          </cell>
          <cell r="J649"/>
          <cell r="K649"/>
        </row>
        <row r="650">
          <cell r="D650" t="str">
            <v>Notional of interest rate swapped to floating as a %, assuming no PREPAYMENT on fixed rate Assets)</v>
          </cell>
          <cell r="E650" t="str">
            <v>Nominaler Zinssatz, der gegen einen variablen Zinssatz geswapt wurde, in %, unter der Annahme, dass keine VORZEITIGEN ZAHLUNGEN auf fest verzinsliche Vermögenswerte erfolgen</v>
          </cell>
          <cell r="F650" t="str">
            <v>Nocional de IRS fijo-flotante en %, asumiendo 0% prepagos en los activos a tipo fijo (no aplicable para España)</v>
          </cell>
          <cell r="J650"/>
          <cell r="K650"/>
        </row>
        <row r="651">
          <cell r="D651" t="str">
            <v>Average Interest Swap Life (stressed)</v>
          </cell>
          <cell r="E651" t="str">
            <v>DURCHSCHNITTLICHE RESTLAUFZEIT der Zinsswaps (unter Stress)</v>
          </cell>
          <cell r="F651" t="str">
            <v>Vida Media del IRS (estresado)</v>
          </cell>
          <cell r="J651"/>
          <cell r="K651"/>
        </row>
        <row r="652">
          <cell r="D652" t="str">
            <v>AVERAGE LIFE of the interest rate swap to floating rate assuming no PREPAYMENT</v>
          </cell>
          <cell r="E652" t="str">
            <v>DURCHSCHNITTLICHE RESTLAUFZEIT des Zinsswaps zu einem variablen Zins unter der Annahme, dass keine VORZEITIGEN ZAHLUNGEN erfolgen</v>
          </cell>
          <cell r="F652" t="str">
            <v>VIDA MEDIA del IRS fijo-flotante asumiendo 0% prepagos (no aplicable para España)</v>
          </cell>
          <cell r="J652"/>
          <cell r="K652"/>
        </row>
        <row r="653">
          <cell r="D653" t="str">
            <v>Notional Interest % Swapped (expected)</v>
          </cell>
          <cell r="E653" t="str">
            <v>Geswapter Nominalzins in % (erwartet)</v>
          </cell>
          <cell r="F653" t="str">
            <v>Nocional cubierto por IRS en % (esperado)</v>
          </cell>
          <cell r="J653"/>
          <cell r="K653"/>
        </row>
        <row r="654">
          <cell r="D654" t="str">
            <v>Notional of interest rate swapped to floating as a %, assuming ASSUMED PREPAYMENT LEVEL on fixed rate Assets)</v>
          </cell>
          <cell r="E654" t="str">
            <v>Nominaler Zinssatz, der gegen einen variablen Zinssatz geswapt wurde, in %, unter der Annahme, dass ANGENOMMENE VORZEITIGE ZAHLUNGEN auf fest verzinsliche Vermögenswerte erfolgen</v>
          </cell>
          <cell r="F654" t="str">
            <v>Nocional de IRS fijo-flotante en %, considerando el NIVEL DE PREPAGOS ASUMIDO en los activos a tipo fijo (no aplicable para España)</v>
          </cell>
          <cell r="J654"/>
          <cell r="K654"/>
        </row>
        <row r="655">
          <cell r="D655" t="str">
            <v>Average Interest Swap Life (expected)</v>
          </cell>
          <cell r="E655" t="str">
            <v>DURCHSCHNITTLICHE RESTLAUFZEIT der Zinsswaps (erwartet)</v>
          </cell>
          <cell r="F655" t="str">
            <v>Vida Media del IRS (esperado)</v>
          </cell>
          <cell r="J655"/>
          <cell r="K655"/>
        </row>
        <row r="656">
          <cell r="D656" t="str">
            <v>AVERAGE LIFE of the interest rate swap to floating rate assuming ASSUMED PREPAYMENT LEVEL</v>
          </cell>
          <cell r="E656" t="str">
            <v>DURCHSCHNITTLICHE RESTLAUFZEIT des Zinsswaps zu einem variablen Zins unter der Annahme, dass ANGENOMMENE VORZEITIGE ZAHLUNGEN auf fest verzinsliche Vermögenswerte erfolgen</v>
          </cell>
          <cell r="F656" t="str">
            <v>VIDA MEDIA del IRS fijo-flotante considerando el NIVEL DE PREPAGOS ASUMIDO (no aplicable para España)</v>
          </cell>
          <cell r="J656"/>
          <cell r="K656"/>
        </row>
        <row r="657">
          <cell r="D657" t="str">
            <v>Currency Swapped to</v>
          </cell>
          <cell r="E657" t="str">
            <v>Swapwährung</v>
          </cell>
          <cell r="F657" t="str">
            <v xml:space="preserve">DIVISA CUBIERTA </v>
          </cell>
          <cell r="J657"/>
          <cell r="K657"/>
        </row>
        <row r="658">
          <cell r="D658" t="str">
            <v>This should exclude swaps which are entered into to remove currency risks on Covered Bonds issued in currencies other than the DEFAULT CURRENCY. These should be entered into the Covered Bond table below</v>
          </cell>
          <cell r="E658" t="str">
            <v>Hier sind keine Swaps einzutragen, die dazu dienen, Wechselkursrisiken für gedeckte Schuldverschreibungen zu eliminieren, die nicht in der STANDARDWÄHRUNG begeben wurde. Derartige Swaps sind in der unten stehenden Tabelle für gedeckte Schuldverschreibungen anzugeben</v>
          </cell>
          <cell r="F658" t="str">
            <v>En este campo se deben excluir los swaps (no aplicable para España) de divisas que cubren los bonos emitidos en otras diversas distintas que la DIVISA ESTÁNDAR. Este tipo de swaps se debe considerar en la tabla de Cédulas abajo.</v>
          </cell>
          <cell r="J658"/>
          <cell r="K658"/>
        </row>
        <row r="659">
          <cell r="D659" t="str">
            <v>Notional Currency % Swapped (stressed)</v>
          </cell>
          <cell r="E659" t="str">
            <v>Nominalwert der Währungsswaps in % (unter Stress)</v>
          </cell>
          <cell r="F659" t="str">
            <v>Nocional cubierto por Swpas de divisas en % (estresado)</v>
          </cell>
          <cell r="J659"/>
          <cell r="K659"/>
        </row>
        <row r="660">
          <cell r="D660" t="str">
            <v>Notional of Currency Swapped %, assuming no PREPAYMENT on fixed rate Assets</v>
          </cell>
          <cell r="E660" t="str">
            <v>Nominalwert der Währungsswaps in %, unter der Annahme, dass keine VORZEITIGEN ZAHLUNGEN auf fest verzinsliche Vermögenswerte erfolgen.</v>
          </cell>
          <cell r="F660" t="str">
            <v>Nocional del swap en %, asumiendo 0% prepagos en los activos a tipo fijo (no aplicable para España)</v>
          </cell>
          <cell r="J660"/>
          <cell r="K660"/>
        </row>
        <row r="661">
          <cell r="D661" t="str">
            <v>Average Currency Swap Life (stressed)</v>
          </cell>
          <cell r="E661" t="str">
            <v>DURCHSCHNITTLICHE RESTLAUFZEIT der Währungsswaps (unter Stress)</v>
          </cell>
          <cell r="F661" t="str">
            <v>Vida Media del Swap de divisas(estresado)</v>
          </cell>
          <cell r="J661"/>
          <cell r="K661"/>
        </row>
        <row r="662">
          <cell r="D662" t="str">
            <v>AVERAGE LIFE of the currency swap assuming no PREPAYMENT</v>
          </cell>
          <cell r="E662" t="str">
            <v>DURCHSCHNITTLICHE RESTLAUFZEIT des Währungsswaps unter der Annahme, dass keine VORZEITIGEN ZAHLUNGEN erfolgen</v>
          </cell>
          <cell r="F662" t="str">
            <v>VIDA MEDIA del swap asumiendo 0% prepagos (no aplicable para España)</v>
          </cell>
          <cell r="J662"/>
          <cell r="K662"/>
        </row>
        <row r="663">
          <cell r="D663" t="str">
            <v>Notional Currency % Swapped (expected)</v>
          </cell>
          <cell r="E663" t="str">
            <v>Nominalwert der Währungsswaps in % (erwartet)</v>
          </cell>
          <cell r="F663" t="str">
            <v>Nocional cubierto por Swap de divisas en % (estresado)</v>
          </cell>
          <cell r="J663"/>
          <cell r="K663"/>
        </row>
        <row r="664">
          <cell r="D664" t="str">
            <v>Notional of currency swapped %, assuming ASSUMED PREPAYMENT LEVEL on fixed rate Assets)</v>
          </cell>
          <cell r="E664" t="str">
            <v>Nominalwert der Währungsswaps in %, unter der Annahme, dass ANGENOMMENE VORZEITIGE ZAHLUNGEN auf fest verzinsliche Vermögenswerte erfolgen.</v>
          </cell>
          <cell r="F664" t="str">
            <v>Nocional del swap en %, considerando el NIVEL DE PREPAGOS ASUMIDO en los activos a tipo fijo (no aplicable para España)</v>
          </cell>
          <cell r="J664"/>
          <cell r="K664"/>
        </row>
        <row r="665">
          <cell r="D665" t="str">
            <v>Average Currency Swap Life (expected)</v>
          </cell>
          <cell r="E665" t="str">
            <v>DURCHSCHNITTLICHE RESTLAUFZEIT der Währungsswaps (erwartet)</v>
          </cell>
          <cell r="F665" t="str">
            <v>Vida Media del IRS (estresado)</v>
          </cell>
          <cell r="J665"/>
          <cell r="K665"/>
        </row>
        <row r="666">
          <cell r="D666" t="str">
            <v>AVERAGE LIFE of the currency swap assuming ASSUMED PREPAYMENT LEVEL</v>
          </cell>
          <cell r="E666" t="str">
            <v>DURCHSCHNITTLICHE RESTLAUFZEIT des Währungsswaps unter der Annahme, dass ANGENOMMENE VORZEITIGE ZAHLUNGEN erfolgen</v>
          </cell>
          <cell r="F666" t="str">
            <v>VIDA MEDIA del swap considerando el NIVEL DE PREPAGOS ASUMIDO (no aplicable para España)</v>
          </cell>
          <cell r="J666"/>
          <cell r="K666"/>
        </row>
        <row r="667">
          <cell r="D667"/>
          <cell r="F667"/>
          <cell r="J667"/>
          <cell r="K667"/>
        </row>
        <row r="668">
          <cell r="D668" t="str">
            <v>Analysis of floating rate Assets in the COVER POOL: Split by currency of assets. Inlcuding fixed rate loans, which reset within the next 12 months.</v>
          </cell>
          <cell r="E668" t="str">
            <v>Analyse VARIABEL VERZINSLICHER VERMÖGENSWERTE in der DECKUNGSMASSE: Aufteilung nach Währung der Vermögenswerte. Einschliesslich festverzinsliche mit Anpassungstermin innerhalb der naechsten 12 Monate.</v>
          </cell>
          <cell r="F668" t="str">
            <v>Análisis de los Activos a tipo variable en la CARTERA SUBYACENTE: Distribuido por la divisa de los Activos</v>
          </cell>
          <cell r="J668"/>
          <cell r="K668"/>
        </row>
        <row r="669">
          <cell r="D669"/>
          <cell r="F669"/>
          <cell r="J669"/>
          <cell r="K669"/>
        </row>
        <row r="670">
          <cell r="D670"/>
          <cell r="F670"/>
          <cell r="J670"/>
          <cell r="K670"/>
        </row>
        <row r="671">
          <cell r="D671" t="str">
            <v>Currency</v>
          </cell>
          <cell r="E671" t="str">
            <v>Währung</v>
          </cell>
          <cell r="F671" t="str">
            <v xml:space="preserve">Divisa  </v>
          </cell>
          <cell r="J671"/>
          <cell r="K671"/>
        </row>
        <row r="672">
          <cell r="D672" t="str">
            <v>Currency of Assets in COVER POOL</v>
          </cell>
          <cell r="E672" t="str">
            <v>Währung der Vermögenswerte in der DECKUNGSMASSE</v>
          </cell>
          <cell r="F672" t="str">
            <v>Divisa de lod activos en la CARTERA SUBYACENTE</v>
          </cell>
          <cell r="J672"/>
          <cell r="K672"/>
        </row>
        <row r="673">
          <cell r="D673" t="str">
            <v>Value</v>
          </cell>
          <cell r="E673" t="str">
            <v>Wert</v>
          </cell>
          <cell r="F673" t="str">
            <v>Valor</v>
          </cell>
          <cell r="J673"/>
          <cell r="K673"/>
        </row>
        <row r="674">
          <cell r="D674" t="str">
            <v>Value of Loans in COVER POOL</v>
          </cell>
          <cell r="E674" t="str">
            <v>Wert der Kredite in der DECKUNGSMASSE</v>
          </cell>
          <cell r="F674" t="str">
            <v>Valor de los Préstamos en la CARTERA SUBYACENTE</v>
          </cell>
          <cell r="J674"/>
          <cell r="K674"/>
        </row>
        <row r="675">
          <cell r="D675" t="str">
            <v>AVERAGE LIFE OF ASSETS (stressed)</v>
          </cell>
          <cell r="E675" t="str">
            <v>DURCHSCHNITTLICHE RESTLAUFZEIT DER VERMÖGENSWERTE (unter Stress)</v>
          </cell>
          <cell r="F675" t="str">
            <v>VIDA MEDIA DE LOS ACTIVOS (Estresada)</v>
          </cell>
          <cell r="J675"/>
          <cell r="K675"/>
        </row>
        <row r="676">
          <cell r="D676" t="str">
            <v>AVERAGE LIFE OF ASSETS (here: floating rate assets) calculated assuming no PREPAYMENT received on these Assets. In years.</v>
          </cell>
          <cell r="E676" t="str">
            <v>DURCHSCHNITTLICHE RESTLAUFZEIT DER VERMÖGENSWERTE (hier: der variabel verzinslichen), berechnet unter der Annahme, dass keine VORZEITIGEN ZAHLUNGEN auf die Vermögenswerte geleistet werden. In Jahren.</v>
          </cell>
          <cell r="F676" t="str">
            <v>VIDA MEDIA de los activos sin asumir un NIVEL DE PREPAGOS de los Activos</v>
          </cell>
          <cell r="J676"/>
          <cell r="K676"/>
        </row>
        <row r="677">
          <cell r="D677" t="str">
            <v>AVERAGE LIFE OF ASSETS (expected)</v>
          </cell>
          <cell r="E677" t="str">
            <v>DURCHSCHNITTLICHE RESTLAUFZEIT DER VERMÖGENSWERTE (erwartet)</v>
          </cell>
          <cell r="F677" t="str">
            <v>VIDA MEDIA DE LOS ACTIVOS (Esperada)</v>
          </cell>
          <cell r="J677"/>
          <cell r="K677"/>
        </row>
        <row r="678">
          <cell r="D678" t="str">
            <v>AVERAGE LIFE OF ASSETS (here: floating rate assets) calculated assuming the ASSUMED PREPAYMENT LEVEL received on these Assets. In years.</v>
          </cell>
          <cell r="E678" t="str">
            <v>DURCHSCHNITTLICHE RESTLAUFZEIT DER VERMÖGENSWERTE (hier: der variabel verzinslichen), berechnet unter der Annahme, dass die ANGENOMMENEN VORZEITIGEN ZAHLUNGEN auf die Vermögenswerte geleistet werden. In Jahren.</v>
          </cell>
          <cell r="F678" t="str">
            <v>VIDA MEDIA de los activos considerando un NIVEL DE PREPAGOS ASUMIDO de los Activos</v>
          </cell>
          <cell r="J678"/>
          <cell r="K678"/>
        </row>
        <row r="679">
          <cell r="D679" t="str">
            <v>Interest Rate pre swaps</v>
          </cell>
          <cell r="E679" t="str">
            <v>Zinssatz vor Swaps</v>
          </cell>
          <cell r="F679" t="str">
            <v>TIPO de Interés pre swaps</v>
          </cell>
          <cell r="J679"/>
          <cell r="K679"/>
        </row>
        <row r="680">
          <cell r="D680" t="str">
            <v>WA Interest Rate on Floating rate Assets in COVER POOL excluding the impact of swaps (in %)</v>
          </cell>
          <cell r="E680" t="str">
            <v>Gewichteter durchschnittlicher Zinssatz der variabel verzinslichen Vermögenswerte der DECKUNGSMASSE ohne die Auswirkungen von Swaps (in %)</v>
          </cell>
          <cell r="F680" t="str">
            <v>Tipo de Interés Medio Ponderado de los préstamos a tipo fijo en la CARTERA SUBYACENTE excluyendo el impacto de swaps</v>
          </cell>
          <cell r="J680"/>
          <cell r="K680"/>
        </row>
        <row r="681">
          <cell r="D681" t="str">
            <v>Interest Rate post swaps</v>
          </cell>
          <cell r="E681" t="str">
            <v>Zinssatz nach Swaps</v>
          </cell>
          <cell r="F681" t="str">
            <v>TIPO de Interés post swaps</v>
          </cell>
          <cell r="J681"/>
          <cell r="K681"/>
        </row>
        <row r="682">
          <cell r="D682" t="str">
            <v>WA Interest Rate on Floating rate Assets in COVER POOL including the impact of swaps (in %)</v>
          </cell>
          <cell r="E682" t="str">
            <v>Gewichteter durchschnittlicher Zinssatz der variabel verzinslichen Vermögenswerte der DECKUNGSMASSE einschließlich der Auswirkungen von Swaps (in %)</v>
          </cell>
          <cell r="F682" t="str">
            <v>Tipo de Interés Medio Ponderado de los préstamos a tipo fijo en la CARTERA SUBYACENTE incluyendo el impacto de swaps (no aplicable para Cédulas españolas)</v>
          </cell>
          <cell r="J682"/>
          <cell r="K682"/>
        </row>
        <row r="683">
          <cell r="D683" t="str">
            <v>Notional Interest % Swapped (stressed)</v>
          </cell>
          <cell r="E683" t="str">
            <v>Geswapter Nominalzins in % (unter Stress)</v>
          </cell>
          <cell r="F683" t="str">
            <v>Nocional cubierto por IRS en % (estresado)</v>
          </cell>
          <cell r="J683"/>
          <cell r="K683"/>
        </row>
        <row r="684">
          <cell r="D684" t="str">
            <v>Notional of interest rate swapped to fixed rate as a %, assuming no PREPAYMENT on floating rate Assets</v>
          </cell>
          <cell r="E684" t="str">
            <v>Nominaler Zinssatz, der gegen einen variablen Zinssatz geswapt wurde, in %, unter der Annahme, dass keine VORZEITIGEN ZAHLUNGEN auf variabel verzinsliche Vermögenswerte erfolgen</v>
          </cell>
          <cell r="F684" t="str">
            <v>Nocional de IRS a fijo en %, asumiendo 0% prepagos en los activos a tipo fijo (no aplicable para España)</v>
          </cell>
          <cell r="J684"/>
          <cell r="K684"/>
        </row>
        <row r="685">
          <cell r="D685" t="str">
            <v>Average Interest Swap Life (stressed)</v>
          </cell>
          <cell r="E685" t="str">
            <v>DURCHSCHNITTLICHE RESTLAUFZEIT der Zinsswaps (unter Stress)</v>
          </cell>
          <cell r="F685" t="str">
            <v>Vida Media del IRS (estresado)</v>
          </cell>
          <cell r="J685"/>
          <cell r="K685"/>
        </row>
        <row r="686">
          <cell r="D686" t="str">
            <v>AVERAGE LIFE of the interest rate swap to fixed rate assuming no PREPAYMENT</v>
          </cell>
          <cell r="E686" t="str">
            <v>DURCHSCHNITTLICHE RESTLAUFZEIT des Zinsswaps zu einem festen Zins unter der Annahme, dass keine VORZEITIGEN ZAHLUNGEN erfolgen</v>
          </cell>
          <cell r="F686" t="str">
            <v>VIDA MEDIA del IRS a fijo asumiendo 0% prepagos (no aplicable para España)</v>
          </cell>
          <cell r="J686"/>
          <cell r="K686"/>
        </row>
        <row r="687">
          <cell r="D687" t="str">
            <v>Notional Interest % Swapped (expected)</v>
          </cell>
          <cell r="E687" t="str">
            <v>Geswapter Nominalzins in % (erwartet)</v>
          </cell>
          <cell r="F687" t="str">
            <v>Nocional cubierto por IRS en % (esperado)</v>
          </cell>
          <cell r="J687"/>
          <cell r="K687"/>
        </row>
        <row r="688">
          <cell r="D688" t="str">
            <v>Notional of interest rate swapped to fixed rate as a %, assuming ASSUMED PREPAYMENT LEVEL on floating rate Assets)</v>
          </cell>
          <cell r="E688" t="str">
            <v>Nominaler Zinssatz, der gegen einen festen Zinssatz geswapt wurde, in %, unter der Annahme, dass ANGENOMMENE VORZEITIGE ZAHLUNGEN auf variabel verzinsliche Vermögenswerte erfolgen</v>
          </cell>
          <cell r="F688" t="str">
            <v>Nocional de IRS a fijo en %, considerando el NIVEL DE PREPAGOS ASUMIDO en los activos a tipo fijo (no aplicable para España)</v>
          </cell>
          <cell r="J688"/>
          <cell r="K688"/>
        </row>
        <row r="689">
          <cell r="D689" t="str">
            <v>Average Interest Swap Life (expected)</v>
          </cell>
          <cell r="E689" t="str">
            <v>DURCHSCHNITTLICHE RESTLAUFZEIT der Zinsswaps (erwartet)</v>
          </cell>
          <cell r="F689" t="str">
            <v>Vida Media del IRS (esperado)</v>
          </cell>
          <cell r="J689"/>
          <cell r="K689"/>
        </row>
        <row r="690">
          <cell r="D690" t="str">
            <v>AVERAGE LIFE of the interest rate swap to fixed rate assuming ASSUMED PREPAYMENT LEVEL</v>
          </cell>
          <cell r="E690" t="str">
            <v>DURCHSCHNITTLICHE RESTLAUFZEIT des Zinsswaps zu einem festen Zins unter der Annahme, dass ANGENOMMENE VORZEITIGE ZAHLUNGEN auf variabel verzinsliche Vermögenswerte erfolgen</v>
          </cell>
          <cell r="F690" t="str">
            <v>VIDA MEDIA del IRS a fijo considerando el NIVEL DE PREPAGOS ASUMIDO (no aplicable para España)</v>
          </cell>
          <cell r="J690"/>
          <cell r="K690"/>
        </row>
        <row r="691">
          <cell r="D691" t="str">
            <v>Currency Swapped to</v>
          </cell>
          <cell r="E691" t="str">
            <v>Swapwährung</v>
          </cell>
          <cell r="F691" t="str">
            <v xml:space="preserve">DIVISA CUBIERTA </v>
          </cell>
          <cell r="J691"/>
          <cell r="K691"/>
        </row>
        <row r="692">
          <cell r="D692" t="str">
            <v>This should exclude swaps which are entered into to remove currency risks on Covered Bonds issued in currencies other than the DEFAULT CURRENCY. These should be entered into the Covered Bond table below</v>
          </cell>
          <cell r="E692" t="str">
            <v>Hier sind keine Swaps einzutragen, die dazu dienen, Wechselkursrisiken für gedeckte Schuldverschreibungen zu eliminieren, die nicht in der STANDARDWÄHRUNG begeben wurde. Derartige Swaps sind in der unten stehenden Tabelle für gedeckte Schuldverschreibungen anzugeben</v>
          </cell>
          <cell r="F692" t="str">
            <v>En este campo se deben excluir los swaps (no aplicable para España) de divisas que cubren los bonos emitidos en otras diversas distintas que la DIVISA ESTÁNDAR. Este tipo de swaps se debe considerar en la tabla de Cédulas abajo.</v>
          </cell>
          <cell r="J692"/>
          <cell r="K692"/>
        </row>
        <row r="693">
          <cell r="D693" t="str">
            <v>Notional Currency % Swapped (stressed)</v>
          </cell>
          <cell r="E693" t="str">
            <v>Nominalwert der Währungsswaps in % (unter Stress)</v>
          </cell>
          <cell r="F693" t="str">
            <v>Nocional cubierto por Swpas de divisas en % (estresado)</v>
          </cell>
          <cell r="J693"/>
          <cell r="K693"/>
        </row>
        <row r="694">
          <cell r="D694" t="str">
            <v>Notional of currency swapped %, assuming no PREPAYMENT on fixed rate Assets</v>
          </cell>
          <cell r="E694" t="str">
            <v>Nominalwert der Währungsswaps in %, unter der Annahme, dass keine VORZEITIGEN ZAHLUNGEN auf fest verzinsliche Vermögenswerte erfolgen.</v>
          </cell>
          <cell r="F694" t="str">
            <v>Nocional del swap en %, asumiendo 0% prepagos en los activos a tipo fijo (no aplicable para España)</v>
          </cell>
          <cell r="J694"/>
          <cell r="K694"/>
        </row>
        <row r="695">
          <cell r="D695" t="str">
            <v>Average Currency Swap Life (stressed)</v>
          </cell>
          <cell r="E695" t="str">
            <v>DURCHSCHNITTLICHE RESTLAUFZEIT der Währungsswaps (unter Stress)</v>
          </cell>
          <cell r="F695" t="str">
            <v>Vida Media del Swap de divisas(estresado)</v>
          </cell>
          <cell r="J695"/>
          <cell r="K695"/>
        </row>
        <row r="696">
          <cell r="D696" t="str">
            <v>AVERAGE LIFE of the currency swap assuming no PREPAYMENT</v>
          </cell>
          <cell r="E696" t="str">
            <v>DURCHSCHNITTLICHE RESTLAUFZEIT des Währungsswaps unter der Annahme, dass keine VORZEITIGEN ZAHLUNGEN erfolgen</v>
          </cell>
          <cell r="F696" t="str">
            <v>VIDA MEDIA del swap asumiendo 0% prepagos (no aplicable para España)</v>
          </cell>
          <cell r="J696"/>
          <cell r="K696"/>
        </row>
        <row r="697">
          <cell r="D697" t="str">
            <v>Notional Currency % Swapped (expected)</v>
          </cell>
          <cell r="E697" t="str">
            <v>Nominalwert der Währungsswaps in % (erwartet)</v>
          </cell>
          <cell r="F697" t="str">
            <v>Nocional cubierto por Swap de divisas en % (estresado)</v>
          </cell>
          <cell r="J697"/>
          <cell r="K697"/>
        </row>
        <row r="698">
          <cell r="D698" t="str">
            <v>Notional of currency swapped %, assuming ASSUMED PREPAYMENT LEVEL on fixed rate Assets</v>
          </cell>
          <cell r="E698" t="str">
            <v>Nominalwert der Währungsswaps in %, unter der Annahme, dass ANGENOMMENE VORZEITIGE ZAHLUNGEN auf fest verzinsliche Vermögenswerte erfolgen.</v>
          </cell>
          <cell r="F698" t="str">
            <v>Nocional del swap en %, considerando el NIVEL DE PREPAGOS ASUMIDO en los activos a tipo fijo (no aplicable para España)</v>
          </cell>
          <cell r="J698"/>
          <cell r="K698"/>
        </row>
        <row r="699">
          <cell r="D699" t="str">
            <v>Average Currency Swap Life (expected)</v>
          </cell>
          <cell r="E699" t="str">
            <v>DURCHSCHNITTLICHE RESTLAUFZEIT der Währungsswaps (erwartet)</v>
          </cell>
          <cell r="F699" t="str">
            <v>Vida Media del IRS (estresado)</v>
          </cell>
          <cell r="J699"/>
          <cell r="K699"/>
        </row>
        <row r="700">
          <cell r="D700" t="str">
            <v>AVERAGE LIFE of the currency swap assuming ASSUMED PREPAYMENT LEVEL</v>
          </cell>
          <cell r="E700" t="str">
            <v>DURCHSCHNITTLICHE RESTLAUFZEIT des Währungsswaps unter der Annahme, dass ANGENOMMENE VORZEITIGE ZAHLUNGEN erfolgen</v>
          </cell>
          <cell r="F700" t="str">
            <v>VIDA MEDIA del swap considerando el NIVEL DE PREPAGOS ASUMIDO (no aplicable para España)</v>
          </cell>
          <cell r="J700"/>
          <cell r="K700"/>
        </row>
        <row r="701">
          <cell r="D701"/>
          <cell r="F701"/>
          <cell r="J701"/>
          <cell r="K701"/>
        </row>
        <row r="702">
          <cell r="D702" t="str">
            <v>Analysis of fixed rate Covered Bonds: Split by currency of Covered Bonds</v>
          </cell>
          <cell r="E702" t="str">
            <v>Analyse fest verzinslicher GEDECKTER SCHULDVERSCHREIBUNGEN: Aufteilung nach der Währung der Gedeckten Schuldverschreibungen</v>
          </cell>
          <cell r="F702" t="str">
            <v>Análisis de las Cédulas a tipo fijo: Distribuido por la divisa de emisión</v>
          </cell>
          <cell r="J702"/>
          <cell r="K702"/>
        </row>
        <row r="703">
          <cell r="D703"/>
          <cell r="F703"/>
          <cell r="J703"/>
          <cell r="K703"/>
        </row>
        <row r="704">
          <cell r="D704"/>
          <cell r="F704"/>
          <cell r="J704"/>
          <cell r="K704"/>
        </row>
        <row r="705">
          <cell r="D705" t="str">
            <v>Currency</v>
          </cell>
          <cell r="E705" t="str">
            <v>Währung</v>
          </cell>
          <cell r="F705" t="str">
            <v>Divisa</v>
          </cell>
          <cell r="J705"/>
          <cell r="K705"/>
        </row>
        <row r="706">
          <cell r="D706" t="str">
            <v>Currency of Covered Bonds</v>
          </cell>
          <cell r="E706" t="str">
            <v>Währung der Gedeckten Schuldverschreibungen</v>
          </cell>
          <cell r="F706" t="str">
            <v>Divisa de emisión de la Cédula</v>
          </cell>
          <cell r="J706"/>
          <cell r="K706"/>
        </row>
        <row r="707">
          <cell r="D707" t="str">
            <v>Value</v>
          </cell>
          <cell r="E707" t="str">
            <v>Wert</v>
          </cell>
          <cell r="F707" t="str">
            <v>Valor</v>
          </cell>
          <cell r="J707"/>
          <cell r="K707"/>
        </row>
        <row r="708">
          <cell r="D708" t="str">
            <v>Nominal amount of Covered Bonds issued</v>
          </cell>
          <cell r="E708" t="str">
            <v>Nominalwert der emittierten, Gedeckten Schuldverschreibungen</v>
          </cell>
          <cell r="F708" t="str">
            <v>Valor Nocional actual de la Cédula emitida</v>
          </cell>
          <cell r="J708"/>
          <cell r="K708"/>
        </row>
        <row r="709">
          <cell r="D709" t="str">
            <v>AVERAGE LIFE (stressed)</v>
          </cell>
          <cell r="E709" t="str">
            <v>DURCHSCHNITTLICHE RESTLAUFZEIT (unter Stress)</v>
          </cell>
          <cell r="F709" t="str">
            <v>VIDA MEDIA DE LAS CÉDULAS (Estresada)</v>
          </cell>
          <cell r="J709"/>
          <cell r="K709"/>
        </row>
        <row r="710">
          <cell r="D710" t="str">
            <v>AVERAGE LIFE of the fixed rate Covered Bonds assuming no PREPAYMENT and ignoring any variable period (for example in any extension period)</v>
          </cell>
          <cell r="E710" t="str">
            <v>DURCHSCHNITTLICHE RESTLAUFZEIT der fest verzinslichen Gedeckten Schuldverschreibungen, berechnet unter der Annahme, dass keine VORZEITIGEN ZAHLUNGEN  geleistet werden und ohne Berücksichtigung variabler Laufzeiten (z.B. Verlängerungen). In Jahren.</v>
          </cell>
          <cell r="F710" t="str">
            <v>VIDA MEDIA de las Cédulas a tipo fijosin asumir un NIVEL DE PREPAGOS de los Activos</v>
          </cell>
          <cell r="J710"/>
          <cell r="K710"/>
        </row>
        <row r="711">
          <cell r="D711" t="str">
            <v>AVERAGE LIFE (expected)</v>
          </cell>
          <cell r="E711" t="str">
            <v>DURCHSCHNITTLICHE RESTLAUFZEIT (erwartet)</v>
          </cell>
          <cell r="F711" t="str">
            <v>VIDA MEDIA DE LOS CÉDULAS (Esperada)</v>
          </cell>
          <cell r="J711"/>
          <cell r="K711"/>
        </row>
        <row r="712">
          <cell r="D712" t="str">
            <v>For pass through (non-bullet) bonds only. AVERAGE LIFE of the fixed rate Covered Bonds assuming ASSUMED PREPAYMENT LEVEL and ignoring any variable period (for example in any extension period). In years.</v>
          </cell>
          <cell r="E712" t="str">
            <v>Bei pass-through (nicht endfaellingen) SCHULDVERSCHREIBUNGEN: DURCHSCHNITTLICHE RESTLAUFZEIT der fest verzinslichen SCHULDVERSCHREIBUNGEN, berechnet unter der Annahme, dass die ANGENOMMENEN VORZEITIGEN ZAHLUNGEN geleistet werden und ohne Berücksichtigung variabler Laufzeiten (z.B. Verlängerungen)</v>
          </cell>
          <cell r="F712" t="str">
            <v>VIDA MEDIA de los activos considerando un NIVEL DE PREPAGOS ASUMIDO de los Activos (No aplicable en España)</v>
          </cell>
          <cell r="J712"/>
          <cell r="K712"/>
        </row>
        <row r="713">
          <cell r="D713" t="str">
            <v>Currency Swapped to</v>
          </cell>
          <cell r="E713" t="str">
            <v>Swapwährung</v>
          </cell>
          <cell r="F713" t="str">
            <v xml:space="preserve">DIVISA CUBIERTA </v>
          </cell>
          <cell r="J713"/>
          <cell r="K713"/>
        </row>
        <row r="714">
          <cell r="D714" t="str">
            <v>This should only include swaps which are entered into to remove currency risks on liabilities issued in currencies other than the DEFAULT CURRENCY.</v>
          </cell>
          <cell r="E714" t="str">
            <v>Hier sind nur Swaps einzutragen, die Wechselkursrisiken für Schuldverschreibungen eliminieren sollen, die nicht in der STANDARDWÄHRUNG emittiert wurden.</v>
          </cell>
          <cell r="F714" t="str">
            <v xml:space="preserve">En este campo se deben incluir los swaps (no aplicable para España) de divisas que cubren los bonos emitidos en otras diversas distintas que la DIVISA ESTÁNDAR. </v>
          </cell>
          <cell r="J714"/>
          <cell r="K714"/>
        </row>
        <row r="715">
          <cell r="D715" t="str">
            <v>Notional Currency % Swapped (stressed)</v>
          </cell>
          <cell r="E715" t="str">
            <v>Nominalwert der Währungsswaps in % (unter Stress)</v>
          </cell>
          <cell r="F715" t="str">
            <v>Nocional cubierto por Swpas de divisas en % (estresado)</v>
          </cell>
          <cell r="J715"/>
          <cell r="K715"/>
        </row>
        <row r="716">
          <cell r="D716" t="str">
            <v>Notional of currency swapped %, assuming no PREPAYMENT on fixed rate Assets</v>
          </cell>
          <cell r="E716" t="str">
            <v>Nominalwert der Währungsswaps in %, unter der Annahme, dass keine VORZEITIGEN ZAHLUNGEN auf fest verzinsliche Vermögenswerte erfolgen.</v>
          </cell>
          <cell r="F716" t="str">
            <v>Nocional del swap en %, asumiendo 0% prepagos en los activos a tipo fijo (no aplicable para España)</v>
          </cell>
          <cell r="J716"/>
          <cell r="K716"/>
        </row>
        <row r="717">
          <cell r="D717" t="str">
            <v>Average Currency Swap Life (stressed)</v>
          </cell>
          <cell r="E717" t="str">
            <v>DURCHSCHNITTLICHE RESTLAUFZEIT der Währungsswaps (unter Stress)</v>
          </cell>
          <cell r="F717" t="str">
            <v>Vida Media del Swap de divisas(estresado)</v>
          </cell>
          <cell r="J717"/>
          <cell r="K717"/>
        </row>
        <row r="718">
          <cell r="D718" t="str">
            <v>AVERAGE LIFE of the currency swap assuming no PREPAYMENT</v>
          </cell>
          <cell r="E718" t="str">
            <v>DURCHSCHNITTLICHE RESTLAUFZEIT des Währungsswaps unter der Annahme, dass keine VORZEITIGEN ZAHLUNGEN erfolgen</v>
          </cell>
          <cell r="F718" t="str">
            <v>VIDA MEDIA del swap asumiendo 0% prepagos (no aplicable para España)</v>
          </cell>
          <cell r="J718"/>
          <cell r="K718"/>
        </row>
        <row r="719">
          <cell r="D719" t="str">
            <v>Notional Currency % Swapped (expected)</v>
          </cell>
          <cell r="E719" t="str">
            <v>Nominalwert der Währungsswaps in % (erwartet)</v>
          </cell>
          <cell r="F719" t="str">
            <v>Nocional cubierto por Swap de divisas en % (estresado)</v>
          </cell>
          <cell r="J719"/>
          <cell r="K719"/>
        </row>
        <row r="720">
          <cell r="D720" t="str">
            <v>For pass through (non-bullet) bonds only. Notional of currency swapped %, assuming ASSUMED PREPAYMENT LEVEL on fixed rate Assets</v>
          </cell>
          <cell r="E720" t="str">
            <v>Bei pass-through (nicht endfaellingen) SCHULDVERSCHREIBUNGEN:  Nominalwert der Währungsswaps in %, unter der Annahme, dass ANGENOMMENE VORZEITIGE ZAHLUNGEN auf fest verzinsliche Vermögenswerte erfolgen.</v>
          </cell>
          <cell r="F720" t="str">
            <v>Nocional del swap en %, considerando el NIVEL DE PREPAGOS ASUMIDO en los activos a tipo fijo (no aplicable para España)</v>
          </cell>
          <cell r="K720"/>
        </row>
        <row r="721">
          <cell r="D721" t="str">
            <v>Average Currency Swap Life (expected)</v>
          </cell>
          <cell r="E721" t="str">
            <v>DURCHSCHNITTLICHE RESTLAUFZEIT der Währungsswaps (erwartet)</v>
          </cell>
          <cell r="F721" t="str">
            <v>Vida Media del IRS (estresado)</v>
          </cell>
          <cell r="K721"/>
        </row>
        <row r="722">
          <cell r="D722" t="str">
            <v>For pass through (non-bullet) bonds only. AVERAGE LIFE of the currency swap assuming ASSUMED PREPAYMENT LEVEL</v>
          </cell>
          <cell r="E722" t="str">
            <v>Bei pass-through (nicht endfaellingen) SCHULDVERSCHREIBUNGEN: DURCHSCHNITTLICHE RESTLAUFZEIT des Währungsswaps unter der Annahme, dass ANGENOMMENE VORZEITIGE ZAHLUNGEN erfolgen</v>
          </cell>
          <cell r="F722" t="str">
            <v>VIDA MEDIA del swap considerando el NIVEL DE PREPAGOS ASUMIDO (no aplicable para España)</v>
          </cell>
          <cell r="K722"/>
        </row>
        <row r="723">
          <cell r="D723" t="str">
            <v>LOAN BALANCE in DEFAULT CURRENCY</v>
          </cell>
          <cell r="E723" t="str">
            <v>KREDITSALDO  in STANDARDWÄHRUNG</v>
          </cell>
          <cell r="F723" t="str">
            <v>Valor en la DIVISA ESTÁNDAR</v>
          </cell>
          <cell r="K723"/>
        </row>
        <row r="724">
          <cell r="D724" t="str">
            <v>LOAN BALANCE of Loans in COVER POOL in DEFAULT CURRENCY (use spot rate for currency conversion)</v>
          </cell>
          <cell r="E724" t="str">
            <v>KREDITSALDO der Kredite in der DECKUNGSMASSE in  der STANDARDWÄHRUNG (zur WÄHRUNGSUMRECHUNG Spot Rate am BERICHTSDATUM heranziehen)</v>
          </cell>
          <cell r="F724" t="str">
            <v>Valor de los Préstamos en la DIVISA ESTÁNDAR</v>
          </cell>
          <cell r="K724"/>
        </row>
        <row r="725">
          <cell r="D725" t="str">
            <v>Analysis of floating rate Covered Bonds: Split by currency of Covered Bonds</v>
          </cell>
          <cell r="E725" t="str">
            <v>Analyse variabel verzinslicher GEDECKTER SCHULDVERSCHREIBUNGEN: Aufteilung nach Währung der GEDECKTEN SCHULDVERSCHREIBUNGEN</v>
          </cell>
          <cell r="F725" t="str">
            <v>Análisis de las Cédulas a tipo variable: Distribuido por la divisa de emisión</v>
          </cell>
          <cell r="K725"/>
        </row>
        <row r="726">
          <cell r="D726"/>
          <cell r="F726"/>
          <cell r="K726"/>
        </row>
        <row r="727">
          <cell r="D727"/>
          <cell r="F727"/>
          <cell r="K727"/>
        </row>
        <row r="728">
          <cell r="D728" t="str">
            <v>Currency</v>
          </cell>
          <cell r="E728" t="str">
            <v>Währung</v>
          </cell>
          <cell r="F728" t="str">
            <v>Divisa</v>
          </cell>
          <cell r="K728"/>
        </row>
        <row r="729">
          <cell r="D729" t="str">
            <v>Currency of Covered Bonds</v>
          </cell>
          <cell r="E729" t="str">
            <v>Währung der Gedeckten Schuldverschreibungen</v>
          </cell>
          <cell r="F729" t="str">
            <v>Divisa de emisión de la Cédula</v>
          </cell>
          <cell r="K729"/>
        </row>
        <row r="730">
          <cell r="D730" t="str">
            <v>Value</v>
          </cell>
          <cell r="E730" t="str">
            <v>Wert</v>
          </cell>
          <cell r="F730" t="str">
            <v>Valor</v>
          </cell>
          <cell r="K730"/>
        </row>
        <row r="731">
          <cell r="D731" t="str">
            <v>Nominal amount of Covered Bonds issued</v>
          </cell>
          <cell r="E731" t="str">
            <v>Nominalwert der emittierten, Gedeckten Schuldverschreibungen</v>
          </cell>
          <cell r="F731" t="str">
            <v>Valor Nocional actual de la Cédula emitida</v>
          </cell>
          <cell r="K731"/>
        </row>
        <row r="732">
          <cell r="D732" t="str">
            <v>AVERAGE LIFE (stressed)</v>
          </cell>
          <cell r="E732" t="str">
            <v>DURCHSCHNITTLICHE RESTLAUFZEIT (unter Stress)</v>
          </cell>
          <cell r="F732" t="str">
            <v>VIDA MEDIA DE LAS CÉDULAS (Estresada)</v>
          </cell>
          <cell r="K732"/>
        </row>
        <row r="733">
          <cell r="D733" t="str">
            <v>AVERAGE LIFE of the floating rate Covered Bonds assuming no PREPAYMENT. In years.</v>
          </cell>
          <cell r="E733" t="str">
            <v>DURCHSCHNITTLICHE RESTLAUFZEIT der variabel verzinslichen Gedeckten Schuldverschreibungen, berechnet unter der Annahme, dass keine VORZEITIGE ZAHLUNGEN  geleistet werden. In Jahren.</v>
          </cell>
          <cell r="F733" t="str">
            <v>VIDA MEDIA de las Cédulas sin asumir un NIVEL DE PREPAGOS de los Activos</v>
          </cell>
          <cell r="J733"/>
          <cell r="K733"/>
        </row>
        <row r="734">
          <cell r="D734" t="str">
            <v>AVERAGE LIFE (expected)</v>
          </cell>
          <cell r="E734" t="str">
            <v>DURCHSCHNITTLICHE RESTLAUFZEIT (erwartet)</v>
          </cell>
          <cell r="F734" t="str">
            <v>VIDA MEDIA DE LOS CÉDULAS (Esperada)</v>
          </cell>
          <cell r="J734"/>
          <cell r="K734"/>
        </row>
        <row r="735">
          <cell r="D735" t="str">
            <v>For pass through (non-bullet) bonds only. AVERAGE LIFE of the floating rate Covered Bonds assuming ASSUMED PREPAYMENT LEVEL. In years.</v>
          </cell>
          <cell r="E735" t="str">
            <v>Bei pass-through (nicht endfaellingen) SCHULDVERSCHREIBUNGEN:  DURCHSCHNITTLICHE RESTLAUFZEIT der variabel verzinslichen Schuldverschreibungen, berechnet unter der Annahme, dass die ANGENOMMENEN VORZEITIGEN ZAHLUNGEN geleistet werden. In Jahren.</v>
          </cell>
          <cell r="F735" t="str">
            <v>VIDA MEDIA de las Cédulas variables considerando un NIVEL DE PREPAGOS ASUMIDO de los Activos (No aplicable en España)</v>
          </cell>
          <cell r="J735"/>
          <cell r="K735"/>
        </row>
        <row r="736">
          <cell r="D736" t="str">
            <v>Currency Swapped to</v>
          </cell>
          <cell r="E736" t="str">
            <v>Swapwährung</v>
          </cell>
          <cell r="F736" t="str">
            <v xml:space="preserve">DIVISA CUBIERTA </v>
          </cell>
          <cell r="J736"/>
          <cell r="K736"/>
        </row>
        <row r="737">
          <cell r="D737" t="str">
            <v>This should only include swaps which are entered into to remove currency risks on liabilities issued in currencies other than the DEFAULT CURRENCY.</v>
          </cell>
          <cell r="E737" t="str">
            <v>Hier sind nur Swaps einzutragen, die Wechselkursrisiken für Schuldverschreibungen eliminieren sollen, die nicht in der STANDARDWÄHRUNG emittiert wurden.</v>
          </cell>
          <cell r="F737" t="str">
            <v xml:space="preserve">En este campo se deben incluir los swaps (no aplicable para España) de divisas que cubren los bonos emitidos en otras diversas distintas que la DIVISA ESTÁNDAR. </v>
          </cell>
          <cell r="J737"/>
          <cell r="K737"/>
        </row>
        <row r="738">
          <cell r="D738" t="str">
            <v>Notional Currency % Swapped (stressed)</v>
          </cell>
          <cell r="E738" t="str">
            <v>Nominalwert der Währungsswaps in % (unter Stress)</v>
          </cell>
          <cell r="F738" t="str">
            <v>Nocional cubierto por Swpas de divisas en % (estresado)</v>
          </cell>
          <cell r="J738"/>
          <cell r="K738"/>
        </row>
        <row r="739">
          <cell r="D739" t="str">
            <v>Notional of currency swapped %, assuming no PREPAYMENT on fixed rate Assets</v>
          </cell>
          <cell r="E739" t="str">
            <v>Nominalwert der Währungsswaps in %, unter der Annahme, dass keine VORZEITIGE ZAHLUNGEN auf fest verzinsliche Vermögenswerte erfolgen.</v>
          </cell>
          <cell r="F739" t="str">
            <v>Nocional del swap en %, asumiendo 0% prepagos en los activos a tipo fijo (no aplicable para España)</v>
          </cell>
          <cell r="J739"/>
          <cell r="K739"/>
        </row>
        <row r="740">
          <cell r="D740" t="str">
            <v>Average Currency Swap Life (stressed)</v>
          </cell>
          <cell r="E740" t="str">
            <v>DURCHSCHNITTLICHE RESTLAUFZEIT der Währungsswaps (unter Stress)</v>
          </cell>
          <cell r="F740" t="str">
            <v>Vida Media del Swap de divisas(estresado)</v>
          </cell>
          <cell r="J740"/>
          <cell r="K740"/>
        </row>
        <row r="741">
          <cell r="D741" t="str">
            <v>AVERAGE LIFE of the currency swap assuming no PREPAYMENT</v>
          </cell>
          <cell r="E741" t="str">
            <v>DURCHSCHNITTLICHE RESTLAUFZEIT des Währungsswaps unter der Annahme, dass keine VORZEITIGE ZAHLUNGEN erfolgen</v>
          </cell>
          <cell r="F741" t="str">
            <v>VIDA MEDIA del swap asumiendo 0% prepagos (no aplicable para España)</v>
          </cell>
          <cell r="J741"/>
          <cell r="K741"/>
        </row>
        <row r="742">
          <cell r="D742" t="str">
            <v>Notional Currency % Swapped (expected)</v>
          </cell>
          <cell r="E742" t="str">
            <v>Nominalwert der Währungsswaps in % (erwartet)</v>
          </cell>
          <cell r="F742" t="str">
            <v>Nocional cubierto por Swap de divisas en % (estresado)</v>
          </cell>
          <cell r="J742"/>
          <cell r="K742"/>
        </row>
        <row r="743">
          <cell r="D743" t="str">
            <v>For pass through (non-bullet) bonds only. Notional of currency swapped %, assuming ASSUMED PREPAYMENT LEVEL on fixed rate Assets</v>
          </cell>
          <cell r="E743" t="str">
            <v>Bei pass-through (nicht endfaellingen) SCHULDVERSCHREIBUNGEN:  Nominalwert der Währungsswaps in %, unter der Annahme, dass ANGENOMMENE VORZEITIGE ZAHLUNGEN auf fest verzinsliche Vermögenswerte erfolgen.</v>
          </cell>
          <cell r="F743" t="str">
            <v>Nocional del swap en %, considerando el NIVEL DE PREPAGOS ASUMIDO en los activos a tipo fijo (no aplicable para España)</v>
          </cell>
          <cell r="J743"/>
          <cell r="K743"/>
        </row>
        <row r="744">
          <cell r="D744" t="str">
            <v>Average Currency Swap Life (expected)</v>
          </cell>
          <cell r="E744" t="str">
            <v>DURCHSCHNITTLICHE RESTLAUFZEIT der Währungsswaps (erwartet)</v>
          </cell>
          <cell r="F744" t="str">
            <v>Vida Media del IRS (estresado)</v>
          </cell>
          <cell r="J744"/>
          <cell r="K744"/>
        </row>
        <row r="745">
          <cell r="D745" t="str">
            <v>For pass through (non-bullet) bonds only. AVERAGE LIFE of the currency swap assuming ASSUMED PREPAYMENT LEVEL</v>
          </cell>
          <cell r="E745" t="str">
            <v>Bei pass-through (nicht endfaellingen) SCHULDVERSCHREIBUNGEN: DURCHSCHNITTLICHE RESTLAUFZEIT des Währungsswaps unter der Annahme, dass ANGENOMMENE VORZEITIGE ZAHLUNGEN erfolgen</v>
          </cell>
          <cell r="F745" t="str">
            <v>VIDA MEDIA del swap considerando el NIVEL DE PREPAGOS ASUMIDO (no aplicable para España)</v>
          </cell>
          <cell r="J745"/>
          <cell r="K745"/>
        </row>
        <row r="746">
          <cell r="D746"/>
          <cell r="E746"/>
          <cell r="F746"/>
          <cell r="H746"/>
          <cell r="I746"/>
          <cell r="J746"/>
          <cell r="K746"/>
        </row>
        <row r="747">
          <cell r="D747" t="str">
            <v>Hedging (2)</v>
          </cell>
          <cell r="E747" t="str">
            <v>Hedging (2)</v>
          </cell>
          <cell r="F747" t="str">
            <v>Hedging (2) No aplicable a España</v>
          </cell>
          <cell r="J747"/>
          <cell r="K747"/>
        </row>
        <row r="748">
          <cell r="D748"/>
          <cell r="E748"/>
          <cell r="J748"/>
          <cell r="K748"/>
        </row>
        <row r="749">
          <cell r="D749" t="str">
            <v>1. Overview - Hedging (1) page</v>
          </cell>
          <cell r="E749" t="str">
            <v xml:space="preserve">1. Überblick - Tabellenblatt Hedging(1) </v>
          </cell>
          <cell r="F749" t="str">
            <v>1. Resumen- Hoja Hedging(1)</v>
          </cell>
          <cell r="J749"/>
          <cell r="K749"/>
        </row>
        <row r="750">
          <cell r="D750" t="str">
            <v>2. Swap by Swap - Hedging (2) page</v>
          </cell>
          <cell r="E750" t="str">
            <v xml:space="preserve">2. Einzelne Swaps - Tabellenblatt Hedging(2) </v>
          </cell>
          <cell r="F750" t="str">
            <v>2. Información de Swaps- Hoja Hedging(2)</v>
          </cell>
          <cell r="J750"/>
          <cell r="K750"/>
        </row>
        <row r="751">
          <cell r="D751" t="str">
            <v>3. Cashflow analysis - Hedging (3) page</v>
          </cell>
          <cell r="E751" t="str">
            <v xml:space="preserve">3. Cashflow-Analyse - Tabellenblatt Hedging(3) </v>
          </cell>
          <cell r="F751" t="str">
            <v>3. Análisis de Cashflows - Hoja Hedging(3)</v>
          </cell>
          <cell r="J751"/>
          <cell r="K751"/>
        </row>
        <row r="752">
          <cell r="D752"/>
          <cell r="J752"/>
          <cell r="K752"/>
        </row>
        <row r="753">
          <cell r="D753" t="str">
            <v>Instructions:</v>
          </cell>
          <cell r="E753" t="str">
            <v>Hinweise:</v>
          </cell>
          <cell r="F753" t="str">
            <v>Instrucciones:</v>
          </cell>
          <cell r="J753"/>
          <cell r="K753"/>
        </row>
        <row r="754">
          <cell r="D754" t="str">
            <v xml:space="preserve">- All Issuers are requested to complete this section.  </v>
          </cell>
          <cell r="E754" t="str">
            <v xml:space="preserve">'- Alle Emittenten werden gebeten, Daten in diesem Tabellenblatt anzugeben.  </v>
          </cell>
          <cell r="F754" t="str">
            <v>- Sólo es de aplicación para emisores españoles si los swaps se consideran como parte de la cartera subyacente.</v>
          </cell>
          <cell r="J754"/>
          <cell r="K754"/>
        </row>
        <row r="755">
          <cell r="D755" t="str">
            <v/>
          </cell>
          <cell r="E755" t="str">
            <v/>
          </cell>
          <cell r="F755"/>
          <cell r="J755"/>
          <cell r="K755"/>
        </row>
        <row r="756">
          <cell r="D756"/>
          <cell r="J756"/>
          <cell r="K756"/>
        </row>
        <row r="757">
          <cell r="D757" t="str">
            <v>Swaps</v>
          </cell>
          <cell r="E757" t="str">
            <v>Swaps</v>
          </cell>
          <cell r="F757" t="str">
            <v>Swaps</v>
          </cell>
          <cell r="J757"/>
          <cell r="K757"/>
        </row>
        <row r="758">
          <cell r="D758" t="str">
            <v>Swap number</v>
          </cell>
          <cell r="E758" t="str">
            <v>Swapnummer</v>
          </cell>
          <cell r="F758" t="str">
            <v>Swap number</v>
          </cell>
          <cell r="J758"/>
          <cell r="K758"/>
        </row>
        <row r="759">
          <cell r="D759" t="str">
            <v>Pay Fix/Float</v>
          </cell>
          <cell r="E759" t="str">
            <v>Fix/variabel zahlen</v>
          </cell>
          <cell r="F759" t="str">
            <v>Pay Fix/Float</v>
          </cell>
          <cell r="J759"/>
          <cell r="K759"/>
        </row>
        <row r="760">
          <cell r="D760" t="str">
            <v>Swap pays fixed rate or floating rate</v>
          </cell>
          <cell r="E760" t="str">
            <v>Swap zahlt fixen oder variablen Zinssatz</v>
          </cell>
          <cell r="F760" t="str">
            <v>Swap pays fixed rate or floating rate</v>
          </cell>
          <cell r="J760"/>
          <cell r="K760"/>
        </row>
        <row r="761">
          <cell r="D761" t="str">
            <v>Swap Pays</v>
          </cell>
          <cell r="E761" t="str">
            <v>Swap zahlt</v>
          </cell>
          <cell r="F761" t="str">
            <v>Swap Pays</v>
          </cell>
          <cell r="J761"/>
          <cell r="K761"/>
        </row>
        <row r="762">
          <cell r="D762" t="str">
            <v>Use % when swap pays fixed rate, and margin when swap pays floating rate. The margin should be in relation to Euribor (or equivalent)</v>
          </cell>
          <cell r="E762" t="str">
            <v>In %, wenn der Swap einen fixen Zinssatz zahlt, als Marge, wenn der Swap einen variablen Zinssatz zahlt. Die Marge ist gegenüber dem Euribor (oder einem äquivalenten Zinssatz) anzugeben</v>
          </cell>
          <cell r="F762" t="str">
            <v>Use % when swap pays fixed rate, and margin when swap pays floating rate. The margin should be in relation to Euribor (or equivalent)</v>
          </cell>
          <cell r="J762"/>
          <cell r="K762"/>
        </row>
        <row r="763">
          <cell r="D763" t="str">
            <v>Pay BASIS</v>
          </cell>
          <cell r="E763" t="str">
            <v>Zahlungsbasis</v>
          </cell>
          <cell r="F763" t="str">
            <v>Pay BASIS</v>
          </cell>
          <cell r="J763"/>
          <cell r="K763"/>
        </row>
        <row r="764">
          <cell r="D764" t="str">
            <v>Only applicable if swap pays a floating rate. Example: Euribor 3 months.</v>
          </cell>
          <cell r="E764" t="str">
            <v>Nur auszufüllen, wenn der Swap einen variablen Zinssatz zahlt. Beispiel: 3M-Euribor.</v>
          </cell>
          <cell r="F764" t="str">
            <v>Only applicable if swap pays a floating rate. Example: Euribor 3 months.</v>
          </cell>
          <cell r="J764"/>
          <cell r="K764"/>
        </row>
        <row r="765">
          <cell r="D765" t="str">
            <v>Receive Fix/Float</v>
          </cell>
          <cell r="E765" t="str">
            <v>Fix/variabel erhalten</v>
          </cell>
          <cell r="F765" t="str">
            <v>Receive Fix/Float</v>
          </cell>
          <cell r="J765"/>
          <cell r="K765"/>
        </row>
        <row r="766">
          <cell r="D766" t="str">
            <v>Swap receives fixed rate or floating rate</v>
          </cell>
          <cell r="E766" t="str">
            <v>Swap erhält einen fixen oder variablen Zinssatz</v>
          </cell>
          <cell r="F766" t="str">
            <v>Swap receives fixed rate or floating rate</v>
          </cell>
          <cell r="J766"/>
          <cell r="K766"/>
        </row>
        <row r="767">
          <cell r="D767" t="str">
            <v>Swap Receives</v>
          </cell>
          <cell r="E767" t="str">
            <v>Swap erhält</v>
          </cell>
          <cell r="F767" t="str">
            <v>Swap Receives</v>
          </cell>
          <cell r="J767"/>
          <cell r="K767"/>
        </row>
        <row r="768">
          <cell r="D768" t="str">
            <v>Use % when swap receives fixed rate, and margin when swap pays floating rate. The margin should be in relation to Euribor (or equivalent)</v>
          </cell>
          <cell r="E768" t="str">
            <v>In %, wenn der Swap einen fixen Zinssatz erhält, als Marge, wenn der Swap einen variablen Zinssatz erhält. Die Marge ist gegenüber dem Euribor (oder einem äquivalenten Zinssatz) anzugeben</v>
          </cell>
          <cell r="F768" t="str">
            <v>Use % when swap receives fixed rate, and margin when swap pays floating rate. The margin should be in relation to Euribor (or equivalent)</v>
          </cell>
          <cell r="J768"/>
          <cell r="K768"/>
        </row>
        <row r="769">
          <cell r="D769" t="str">
            <v>Receives Basis</v>
          </cell>
          <cell r="E769" t="str">
            <v>Basis für Erhalten</v>
          </cell>
          <cell r="F769" t="str">
            <v>Receives Basis</v>
          </cell>
          <cell r="J769"/>
          <cell r="K769"/>
        </row>
        <row r="770">
          <cell r="D770" t="str">
            <v>Only applicable if swap receives a floating rate. Example: Euribor 3 months. If more than one, state "multiple"</v>
          </cell>
          <cell r="E770" t="str">
            <v>Nur auszufüllen, wenn der Swap einen variablen Zinssatz erhält. Beispiel: 3M-Euribor. Wenn mehr als ein Zinssatz gilt, geben Sie "mehrere" an</v>
          </cell>
          <cell r="F770" t="str">
            <v>Only applicable if swap receives a floating rate. Example: Euribor 3 months. If more than one, state "multiple"</v>
          </cell>
          <cell r="J770"/>
          <cell r="K770"/>
        </row>
        <row r="771">
          <cell r="D771" t="str">
            <v>Swap Pay (currency)</v>
          </cell>
          <cell r="E771" t="str">
            <v>Swap zahlt (Währung)</v>
          </cell>
          <cell r="F771" t="str">
            <v>Swap Pay (currency)</v>
          </cell>
          <cell r="J771"/>
          <cell r="K771"/>
        </row>
        <row r="772">
          <cell r="D772" t="str">
            <v xml:space="preserve">Swap pays in (currency). </v>
          </cell>
          <cell r="E772" t="str">
            <v>Swap zahlt in (Währung)</v>
          </cell>
          <cell r="F772" t="str">
            <v xml:space="preserve">Swap pays in (currency). </v>
          </cell>
          <cell r="J772"/>
          <cell r="K772"/>
        </row>
        <row r="773">
          <cell r="D773" t="str">
            <v>Swap Receives (currency)</v>
          </cell>
          <cell r="E773" t="str">
            <v>Swap erhält (Währung)</v>
          </cell>
          <cell r="F773" t="str">
            <v>Swap Receives (currency)</v>
          </cell>
          <cell r="J773"/>
          <cell r="K773"/>
        </row>
        <row r="774">
          <cell r="D774" t="str">
            <v>Swap receives in (currency)</v>
          </cell>
          <cell r="E774" t="str">
            <v>Swap erhält in (Währung)</v>
          </cell>
          <cell r="F774" t="str">
            <v>Swap receives in (currency)</v>
          </cell>
          <cell r="J774"/>
          <cell r="K774"/>
        </row>
        <row r="775">
          <cell r="D775" t="str">
            <v>Current Notional</v>
          </cell>
          <cell r="E775" t="str">
            <v>Aktueller Nennwert</v>
          </cell>
          <cell r="F775" t="str">
            <v>Current Notional</v>
          </cell>
          <cell r="J775"/>
          <cell r="K775"/>
        </row>
        <row r="776">
          <cell r="D776" t="str">
            <v>Notional of swap at REPORT DATE. Where relevant, amount in the currency paid by the swap counterparty.</v>
          </cell>
          <cell r="E776" t="str">
            <v>Nennwert des Swaps zum BERICHTSDATUM. Gegebenenfalls Betrag in der Währung, die vom Swap-Kontrahenten gezahlt wird.</v>
          </cell>
          <cell r="F776" t="str">
            <v>Notional of swap at REPORT DATE. Where relevant, amount in the currency paid by the swap counterparty.</v>
          </cell>
          <cell r="J776"/>
          <cell r="K776"/>
        </row>
        <row r="777">
          <cell r="D777" t="str">
            <v>Swap Exchange Rate</v>
          </cell>
          <cell r="E777" t="str">
            <v>Swap-Wechselkurs</v>
          </cell>
          <cell r="F777" t="str">
            <v>Swap Exchange Rate</v>
          </cell>
          <cell r="J777"/>
          <cell r="K777"/>
        </row>
        <row r="778">
          <cell r="D778" t="str">
            <v>Swap exchange rate in currency swap. Use "NA" for swaps other than currency swaps</v>
          </cell>
          <cell r="E778" t="str">
            <v>Swap-Wechselkurs bei einem Währungsswap. Bei anderen Swaparten tragen Sie "NA" ein</v>
          </cell>
          <cell r="F778" t="str">
            <v>Swap exchange rate in currency swap. Use "n/a" for swaps other than currency swaps</v>
          </cell>
          <cell r="J778"/>
          <cell r="K778"/>
        </row>
        <row r="779">
          <cell r="D779" t="str">
            <v>Termination Currency</v>
          </cell>
          <cell r="E779" t="str">
            <v>Abschlusswährung</v>
          </cell>
          <cell r="F779" t="str">
            <v>Termination Currency</v>
          </cell>
          <cell r="J779"/>
          <cell r="K779"/>
        </row>
        <row r="780">
          <cell r="D780" t="str">
            <v>Currency of termination payment</v>
          </cell>
          <cell r="E780" t="str">
            <v>Währung der Abschlusszahlung</v>
          </cell>
          <cell r="F780" t="str">
            <v>Currency of termination payment</v>
          </cell>
          <cell r="J780"/>
          <cell r="K780"/>
        </row>
        <row r="781">
          <cell r="D781" t="str">
            <v>Termination Notional</v>
          </cell>
          <cell r="E781" t="str">
            <v>Nennwert der Abschlusszahlung</v>
          </cell>
          <cell r="F781" t="str">
            <v>Termination Notional</v>
          </cell>
          <cell r="J781"/>
          <cell r="K781"/>
        </row>
        <row r="782">
          <cell r="D782" t="str">
            <v>Notional of swap expected at termination (in currency of termination)</v>
          </cell>
          <cell r="E782" t="str">
            <v>Nennwert des Swaps, der zum Enddatum (in der Abschlusswährung) erwartet wird</v>
          </cell>
          <cell r="F782" t="str">
            <v>Notional of swap expected at termination (in currency of termination)</v>
          </cell>
          <cell r="J782"/>
          <cell r="K782"/>
        </row>
        <row r="783">
          <cell r="D783" t="str">
            <v>Termination Date</v>
          </cell>
          <cell r="E783" t="str">
            <v>Enddatum</v>
          </cell>
          <cell r="F783" t="str">
            <v>Termination Date</v>
          </cell>
          <cell r="J783"/>
          <cell r="K783"/>
        </row>
        <row r="784">
          <cell r="D784" t="str">
            <v>Termination date of swap</v>
          </cell>
          <cell r="E784" t="str">
            <v>Enddatum des Swaps</v>
          </cell>
          <cell r="F784" t="str">
            <v>Termination date of swap</v>
          </cell>
          <cell r="J784"/>
          <cell r="K784"/>
        </row>
        <row r="785">
          <cell r="D785" t="str">
            <v>Swap Profile</v>
          </cell>
          <cell r="E785" t="str">
            <v>Swap-Profil</v>
          </cell>
          <cell r="F785" t="str">
            <v>Swap Profile</v>
          </cell>
          <cell r="J785"/>
          <cell r="K785"/>
        </row>
        <row r="786">
          <cell r="D786" t="str">
            <v>Profile of swap</v>
          </cell>
          <cell r="E786" t="str">
            <v>Swap-Profil</v>
          </cell>
          <cell r="F786" t="str">
            <v>Profile of swap</v>
          </cell>
          <cell r="J786"/>
          <cell r="K786"/>
        </row>
        <row r="787">
          <cell r="D787" t="str">
            <v>AVERAGE LIFE (stressed)</v>
          </cell>
          <cell r="E787" t="str">
            <v>DURCHSCHNITTLICHE RESTLAUFZEIT (unter Stress)</v>
          </cell>
          <cell r="F787" t="str">
            <v>AVERAGE LIFE (stressed)</v>
          </cell>
          <cell r="J787"/>
          <cell r="K787"/>
        </row>
        <row r="788">
          <cell r="D788" t="str">
            <v>AVERAGE LIFE of swap assuming no PREPAYMENT on Assets</v>
          </cell>
          <cell r="E788" t="str">
            <v>DURCHSCHNITTLICHE RESTLAUFZEIT des Swaps unter der Annahme, dass keine VORZEITIGEN ZAHLUNGEN auf die Vermögenswerte erfolgen</v>
          </cell>
          <cell r="F788" t="str">
            <v>AVERAGE LIFE of swap assuming no PREPAYMENT on Assets</v>
          </cell>
          <cell r="J788"/>
          <cell r="K788"/>
        </row>
        <row r="789">
          <cell r="D789" t="str">
            <v>AVERAGE LIFE (expected)</v>
          </cell>
          <cell r="E789" t="str">
            <v>DURCHSCHNITTLICHE RESTLAUFZEIT (erwartet)</v>
          </cell>
          <cell r="F789" t="str">
            <v>AVERAGE LIFE (expected)</v>
          </cell>
          <cell r="J789"/>
          <cell r="K789"/>
        </row>
        <row r="790">
          <cell r="D790" t="str">
            <v>For amortising swap, AVERAGE LIFE of swap assuming Assets follow ASSUMED PREPAYMENT LEVEL. For non-amortising swap this should be "NA"</v>
          </cell>
          <cell r="E790" t="str">
            <v>Bei einem amortisierenden Swap die DURCHSCHNITTLICHE RESTLAUFZEIT des Swaps unter der Annahme, dass die ANGENOMMENEN VORZEITIGEN ZAHLUNGEN geleistet werden. Bei einem nicht amortisierenden Swap geben Sie "NA" ein</v>
          </cell>
          <cell r="F790" t="str">
            <v>For amortising swap, AVERAGE LIFE of swap assuming Assets follow ASSUMED PREPAYMENT LEVEL. For non-amortising swap this should be "n/a"</v>
          </cell>
          <cell r="J790"/>
          <cell r="K790"/>
        </row>
        <row r="791">
          <cell r="D791" t="str">
            <v>Swap Counterparty</v>
          </cell>
          <cell r="E791" t="str">
            <v>Swap-Kontrahent</v>
          </cell>
          <cell r="F791" t="str">
            <v>Swap Counterparty</v>
          </cell>
          <cell r="J791"/>
          <cell r="K791"/>
        </row>
        <row r="792">
          <cell r="D792" t="str">
            <v>Full name of swap counterparty</v>
          </cell>
          <cell r="E792" t="str">
            <v>Vollständiger Name des Swap-Kontrahenten</v>
          </cell>
          <cell r="F792" t="str">
            <v>Full name of swap counterparty</v>
          </cell>
          <cell r="J792"/>
          <cell r="K792"/>
        </row>
        <row r="793">
          <cell r="D793" t="str">
            <v>Moody's Rating</v>
          </cell>
          <cell r="E793" t="str">
            <v>Rating von Moody's</v>
          </cell>
          <cell r="F793" t="str">
            <v>Moody's Rating</v>
          </cell>
          <cell r="J793"/>
          <cell r="K793"/>
        </row>
        <row r="794">
          <cell r="D794" t="str">
            <v>Swap counterparty Moody's rating</v>
          </cell>
          <cell r="E794" t="str">
            <v>Rating von Moody's für den Swap-Kontrahenten</v>
          </cell>
          <cell r="F794" t="str">
            <v>Swap counterparty Moody's rating</v>
          </cell>
          <cell r="J794"/>
          <cell r="K794"/>
        </row>
        <row r="795">
          <cell r="D795" t="str">
            <v>S&amp;P Rating</v>
          </cell>
          <cell r="E795" t="str">
            <v>Rating von S&amp;P</v>
          </cell>
          <cell r="F795" t="str">
            <v>S&amp;P Rating</v>
          </cell>
          <cell r="J795"/>
          <cell r="K795"/>
        </row>
        <row r="796">
          <cell r="D796" t="str">
            <v>Swap counterparty S&amp;P rating</v>
          </cell>
          <cell r="E796" t="str">
            <v>Rating von S&amp;P für den Swap-Kontrahenten</v>
          </cell>
          <cell r="F796" t="str">
            <v>Swap counterparty S&amp;P rating</v>
          </cell>
          <cell r="J796"/>
          <cell r="K796"/>
        </row>
        <row r="797">
          <cell r="D797" t="str">
            <v>Fitch Rating</v>
          </cell>
          <cell r="E797" t="str">
            <v>Rating von Fitch</v>
          </cell>
          <cell r="F797" t="str">
            <v>Fitch Rating</v>
          </cell>
          <cell r="J797"/>
          <cell r="K797"/>
        </row>
        <row r="798">
          <cell r="D798" t="str">
            <v>Swap counterparty Fitch rating</v>
          </cell>
          <cell r="E798" t="str">
            <v>Rating von Fitch für den Swap-Kontrahenten</v>
          </cell>
          <cell r="F798" t="str">
            <v>Swap counterparty Fitch rating</v>
          </cell>
          <cell r="J798"/>
          <cell r="K798"/>
        </row>
        <row r="799">
          <cell r="D799" t="str">
            <v>ISSUER DEFAULT</v>
          </cell>
          <cell r="E799" t="str">
            <v>ZAHLUNGSAUSFALL DES EMITTENTEN</v>
          </cell>
          <cell r="F799" t="str">
            <v>ISSUER DEFAULT</v>
          </cell>
          <cell r="J799"/>
          <cell r="K799"/>
        </row>
        <row r="800">
          <cell r="D800" t="str">
            <v>Does swap survive ISSUER DEFAULT?</v>
          </cell>
          <cell r="E800" t="str">
            <v>Besteht der Swap bei einem ZAHLUNGSAUSFALL DES EMITTENTEN weiter?</v>
          </cell>
          <cell r="F800" t="str">
            <v>Does swap survive ISSUER DEFAULT?</v>
          </cell>
          <cell r="J800"/>
          <cell r="K800"/>
        </row>
        <row r="801">
          <cell r="D801" t="str">
            <v>Issuer Collateral Posting</v>
          </cell>
          <cell r="E801" t="str">
            <v>Sicherheiten des Emittenten</v>
          </cell>
          <cell r="F801" t="str">
            <v>Issuer Collateral Posting</v>
          </cell>
          <cell r="J801"/>
          <cell r="K801"/>
        </row>
        <row r="802">
          <cell r="D802" t="str">
            <v>Does Issuer need to post collateral?</v>
          </cell>
          <cell r="E802" t="str">
            <v>Muss der Emittent Sicherheiten gewähren?</v>
          </cell>
          <cell r="F802" t="str">
            <v>Does Issuer need to post collateral?</v>
          </cell>
          <cell r="J802"/>
          <cell r="K802"/>
        </row>
        <row r="803">
          <cell r="D803" t="str">
            <v>Swap Collateral Posting</v>
          </cell>
          <cell r="E803" t="str">
            <v>Sicherheiten für den Swap</v>
          </cell>
          <cell r="F803" t="str">
            <v>Swap Collateral Posting</v>
          </cell>
          <cell r="J803"/>
          <cell r="K803"/>
        </row>
        <row r="804">
          <cell r="D804" t="str">
            <v>Does swap counterparty need to post collateral?</v>
          </cell>
          <cell r="E804" t="str">
            <v>Muss der Swap-Kontrahent Sicherheiten gewähren?</v>
          </cell>
          <cell r="F804" t="str">
            <v>Does swap counterparty need to post collateral?</v>
          </cell>
          <cell r="J804"/>
          <cell r="K804"/>
        </row>
        <row r="805">
          <cell r="D805" t="str">
            <v>Collateral Rating Trigger</v>
          </cell>
          <cell r="E805" t="str">
            <v>Auslöser für das Rating der Sicherheiten</v>
          </cell>
          <cell r="F805" t="str">
            <v>Collateral Rating Trigger</v>
          </cell>
          <cell r="J805"/>
          <cell r="K805"/>
        </row>
        <row r="806">
          <cell r="D806" t="str">
            <v>On loss of which Moody's rating is collateral posted by swap counterparty</v>
          </cell>
          <cell r="E806" t="str">
            <v>Welchen Wert muss das Rating von Moody's unterschreiten, damit der Swap-Kontrahent Sicherheiten gewähren muss?</v>
          </cell>
          <cell r="F806" t="str">
            <v>On loss of which Moody's rating is collateral posted by swap counterparty</v>
          </cell>
          <cell r="J806"/>
          <cell r="K806"/>
        </row>
        <row r="807">
          <cell r="D807" t="str">
            <v>Rating Requirement</v>
          </cell>
          <cell r="E807" t="str">
            <v>Rating-Anforderungen</v>
          </cell>
          <cell r="F807" t="str">
            <v>Rating Requirement</v>
          </cell>
          <cell r="J807"/>
          <cell r="K807"/>
        </row>
        <row r="808">
          <cell r="D808" t="str">
            <v>Does swap counterparty require any given rating?</v>
          </cell>
          <cell r="E808" t="str">
            <v>Fordert der Swap-Kontrahent ein bestimmtes Rating?</v>
          </cell>
          <cell r="F808" t="str">
            <v>Does swap counterparty require any given rating?</v>
          </cell>
          <cell r="J808"/>
          <cell r="K808"/>
        </row>
        <row r="809">
          <cell r="D809" t="str">
            <v>QUALIFYING SWAP?</v>
          </cell>
          <cell r="E809" t="str">
            <v>QUALIFIZIERTER SWAP?</v>
          </cell>
          <cell r="F809" t="str">
            <v>QUALIFYING SWAP?</v>
          </cell>
          <cell r="J809"/>
          <cell r="K809"/>
        </row>
        <row r="810">
          <cell r="D810" t="str">
            <v>Is the swap a QUALIFYING SWAP?</v>
          </cell>
          <cell r="E810" t="str">
            <v>Handelt es sich bei dem Swap um einen QUALIFIZIERTEN SWAP?</v>
          </cell>
          <cell r="F810" t="str">
            <v>Is the swap a QUALIFYING SWAP?</v>
          </cell>
          <cell r="J810"/>
          <cell r="K810"/>
        </row>
        <row r="811">
          <cell r="D811"/>
          <cell r="E811"/>
          <cell r="F811"/>
          <cell r="H811"/>
          <cell r="I811"/>
          <cell r="J811"/>
          <cell r="K811"/>
        </row>
        <row r="812">
          <cell r="D812" t="str">
            <v>Hedging (3)</v>
          </cell>
          <cell r="E812" t="str">
            <v>Hedging (3)</v>
          </cell>
          <cell r="F812" t="str">
            <v>Hedging (3)</v>
          </cell>
          <cell r="J812"/>
          <cell r="K812"/>
        </row>
        <row r="813">
          <cell r="D813"/>
          <cell r="E813"/>
          <cell r="F813"/>
          <cell r="J813"/>
          <cell r="K813"/>
        </row>
        <row r="814">
          <cell r="D814" t="str">
            <v>1. Overview - Hedging (1) page</v>
          </cell>
          <cell r="E814" t="str">
            <v xml:space="preserve">1. Überblick - Tabellenblatt Hedging(1) </v>
          </cell>
          <cell r="F814" t="str">
            <v>1. Resumen- Hoja Hedging(1)</v>
          </cell>
          <cell r="J814"/>
          <cell r="K814"/>
        </row>
        <row r="815">
          <cell r="D815" t="str">
            <v>2. Swap by Swap - Hedging (2) page</v>
          </cell>
          <cell r="E815" t="str">
            <v xml:space="preserve">2. Einzelne Swaps - Tabellenblatt Hedging(2) </v>
          </cell>
          <cell r="F815" t="str">
            <v>2. Información de Swaps- Hoja Hedging(2)</v>
          </cell>
          <cell r="J815"/>
          <cell r="K815"/>
        </row>
        <row r="816">
          <cell r="D816" t="str">
            <v>3. Cashflow analysis - Hedging (3) page</v>
          </cell>
          <cell r="E816" t="str">
            <v xml:space="preserve">3. Cashflow-Analyse - Tabellenblatt Hedging(3) </v>
          </cell>
          <cell r="F816" t="str">
            <v>3. Análisis de Cashflows - Hoja Hedging(3)</v>
          </cell>
          <cell r="J816"/>
          <cell r="K816"/>
        </row>
        <row r="817">
          <cell r="D817"/>
          <cell r="J817"/>
          <cell r="K817"/>
        </row>
        <row r="818">
          <cell r="D818" t="str">
            <v>Instructions:</v>
          </cell>
          <cell r="E818" t="str">
            <v>Hinweise:</v>
          </cell>
          <cell r="F818" t="str">
            <v>Instrucciones:</v>
          </cell>
          <cell r="J818"/>
          <cell r="K818"/>
        </row>
        <row r="819">
          <cell r="D819" t="str">
            <v>- below are 4 tables to be completed, labelled 3.1, 3.2, 3.3 and 3.4.</v>
          </cell>
          <cell r="E819" t="str">
            <v>- die folgenden 4 Tabellen mit den Nummern 3.1, 3.2, 3.3 und 3.4 sind auszufüllen.</v>
          </cell>
          <cell r="F819" t="str">
            <v>- A continuación se muestran 4 tablas para ser rellenadas, numeradas 3.1., 3.2., 3.3. y 3.4.</v>
          </cell>
          <cell r="J819"/>
          <cell r="K819"/>
        </row>
        <row r="820">
          <cell r="D820" t="str">
            <v>- all Issuers should complete the historic data fields for the historic 4 quarters in 3.1 and 3.2 (this data will only be available after close). All  Issuers are requested to complete all fields of all relevant tables.</v>
          </cell>
          <cell r="E820" t="str">
            <v>- alle Emittenten sollten die Felder für die historischen Daten aus den letzten vier Quartalen in den Tabellen 3.1 und 3.2 ausfüllen (die Daten sind erst nach Closing verfügbar). Alle Emittenten sollten alle Felder und alle relevanten Tabellen ausfüllen.</v>
          </cell>
          <cell r="F820" t="str">
            <v xml:space="preserve">- Todos los emisores deben completar los campos de datos históricos de los últimos 4 trimestres en 3.1. y 3.2.(esta información sólo es disponible tras la primera emisión). </v>
          </cell>
          <cell r="J820"/>
          <cell r="K820"/>
        </row>
        <row r="821">
          <cell r="D821" t="str">
            <v>- for Issuers with only public sector, commercial or substitute collateral asset types in the COVER POOL, there is no need to complete tables 3.2 and 3.4 unless it has been agreed that the ASSUMED PREPAYMENT LEVEL should be changed for these ASSET TYPES.</v>
          </cell>
          <cell r="E821" t="str">
            <v>- Emittenten, bei denen lediglich Kredite an den öffentlichen Sektor, Hypotheken für gewerblich genutzte Immobilien oder Ersatzsicherheiten in der DECKUNGSMASSE vorhanden sind, sollten die Tabellen 3.2 und 3.4 nur dann ausfüllen, wenn vereinbart wurde, dass die ANGENOMMENEN VORZEITIGE ZAHLUNGEN für diese TYPEN VON VERMÖGENSWERTEN geändert werden sollen.</v>
          </cell>
          <cell r="F821" t="str">
            <v>Para emisores que en su CARTERA SUBYACENTE solamente tengan activos del sector público, comerciales o cartera adicional, no tienen que completar las tablas 3.2. y 3.4. al menos que se haya acordado los NIVELES DE PREPAGOS para esta clase de activos.</v>
          </cell>
          <cell r="J821"/>
          <cell r="K821"/>
        </row>
        <row r="822">
          <cell r="D822" t="str">
            <v>- all data should be entered in the DEFAULT CURRENCY.</v>
          </cell>
          <cell r="E822" t="str">
            <v>- alle Daten sind in der STANDARDWÄHRUNG einzutragen.</v>
          </cell>
          <cell r="F822" t="str">
            <v>-Todos los datos deben ser en la Divisa Estándar</v>
          </cell>
          <cell r="J822"/>
          <cell r="K822"/>
        </row>
        <row r="823">
          <cell r="D823" t="str">
            <v>- under tables 3.1 and 3.2 below, cash-flows covered by QUALIFYING SWAP/s should be calculated using the foreign exchange rate given by those Swaps. Any remaining cash-flows not covered by Swaps (e.g. (i) cash flows arising from assets or in respect of Covered Bonds, after the maturity date of any applicable Swaps, (ii) cash flows arising from assets or in respect of Covered Bonds which are otherwise not covered by any Swaps) should be calculated using the relevant forward foreign exchange rate curve at the REPORT DATE. Under 3.3 and 3.4, where it is assumed that Swaps should be ignored, the cash-flows should be calculated using the relevant forward foreign exchange rate curve at the REPORT DATE.</v>
          </cell>
          <cell r="E823" t="str">
            <v xml:space="preserve">- unter 3.1. und 3.2 sollten die Cash Flows der QUALIFIZIERTEN SWAPS mittels der durch diese Swaps vorgegebenen Umrechnungskurse berechnet werden. Weitere Cash Flows, die nicht durch diese Swaps abgedeckt sind (z.B. (i) Cash Flows aus Darlehen oder GEDECKTEN SCHULDVERSCHREIBUNGEN, deren Fälligkeit nach der Fälligkeit der Swaps ist, (ii) Cash Flows aus Darlehen oder GEDECKTEN SCHULDVERSCHREIBUNGEN, die nicht durch irgendwelche SWAPs abgesichert sind), sollten mittels der entsprechenden Forward Foreign Exchange Rate Curve am BERICHTSDATUM berechnet werden.  Unter 3.3 und 3.4 - alle SWAPS werden hier ignoriert - sollten alle Cash Flows mittels der entsprechenden Forward Foreign Exchange Rate Curve am BERICHTSDATUM berechnet werden.  </v>
          </cell>
          <cell r="F823" t="str">
            <v>- La conversión de la divisa, debe realizarse al tipo oficial de cambio en la FECHA DEL INFORME. En el caso español, no debe tenerse en cuenta ninguna consideración de las swaps ya que no se consideran parte de la cartera subyacente.</v>
          </cell>
          <cell r="J823"/>
          <cell r="K823"/>
        </row>
        <row r="824">
          <cell r="D824" t="str">
            <v>- the amounts received by the Issuer should be calculated after taking into account all relevant costs (e.g. swap counterparty and servicing costs). If these are not included below these should be communicated to Moody's.</v>
          </cell>
          <cell r="E824" t="str">
            <v>- die vom Emittenten erhaltenen Beträge sind nach Berücksichtigung aller relevanten Kosten (z.B. Kosten für den Swap-Kontrahenten und die Schuldenbedienung) zu berechnen. Wenn diese Kosten nicht unten berücksichtigt werden, ist Moody's davon sowie von ihrer Höhe in Kenntnis zu setzen.</v>
          </cell>
          <cell r="F824" t="str">
            <v>- Las cantidades recibidas por el Emisor deben considerarse netas de costes (p.ej. Costes de administración). En caso contrario se deberá comunicar a Moody's que no se han tenido en consideración.</v>
          </cell>
          <cell r="J824"/>
          <cell r="K824"/>
        </row>
        <row r="825">
          <cell r="D825" t="str">
            <v>- for historic fields use actual cashflows received in these periods - do not estimate historic cashflows from forward rates.</v>
          </cell>
          <cell r="E825" t="str">
            <v>- bei Feldern zu historischen Daten sind die tatsächlich in diesem Zeitraum angefallenen Cashflows zu verwenden, keine Schätzungen historischer Cashflows auf der Grundlage der Forward-Sätze.</v>
          </cell>
          <cell r="F825" t="str">
            <v>- Los datos históricos pasados no deben ser estimados p.ej. utilizando las curvas forward, sino considerando el dinero realmente recibido</v>
          </cell>
          <cell r="J825"/>
          <cell r="K825"/>
        </row>
        <row r="826">
          <cell r="D826" t="str">
            <v>- for the calculation of interest payments, if a fixed asset has reached its reset date, it shall be treated as floating asset from that date on. To determine the interest payment the respective forward rate should be used topped up with the weighted average margin for floating rate assets. Use weighted average margin of fixed rate assets, if no weighted average margin for floating rate assets is available, or it cannot be used for any reason - please let Moody's know the reason. For floating rate assets, the forward rate shall be used until maturity of the asset, plus the actual margin of the asset.</v>
          </cell>
          <cell r="E826" t="str">
            <v>- Zur Berechnung von Zinszahlungen sind fest verzinsliche Vermögenswerte ab dem Zinsanpassungstermin wie variabel verzinsliche zu behandeln. Zur Festlegung der Zinszahlung sollte der jeweilige Forward Satz verwendet werden, zuzueglich der gewichteten durchschnittlichen Marge für variabel verzinsliche Vermögenswerte. Ist die gewichtete durchschnittlichen Marge für variabel verzinsliche Vermögenswerte nicht verfügbar, oder ist aus einem anderen Grund (bitte nennen) nicht heranziehbar, kann die die gewichtete durchschnittlichen Marge für fest verzinsliche Vermögenswerte benutzt werden. Für variabel verzinsliche Vermögenswerte bitte den Forward Satz bis zur Fälligkeit des Vermögenswertes benutzen, plus der entsprechenden Marge des Vermögenswertes.</v>
          </cell>
          <cell r="F826" t="str">
            <v>- A la hora de calcular los pagos de intereses, si en la proyección el préstamo a tipo fijo se convierte en variable, debe ser tratado como variable a partir de dicha fecha. Para determinar el tipo de interés se deberá utilizar la curva forward apropiada teniendo en cuenta el margen ponderado de los activos.</v>
          </cell>
          <cell r="J826"/>
          <cell r="K826"/>
        </row>
        <row r="827">
          <cell r="D827"/>
          <cell r="E827"/>
          <cell r="F827"/>
          <cell r="J827"/>
          <cell r="K827"/>
        </row>
        <row r="828">
          <cell r="D828" t="str">
            <v>Please follow hyperlinks below to reach the relevant tables and click on the activated cell to come back:</v>
          </cell>
          <cell r="E828" t="str">
            <v>Zur Dateneingabe klicken Sie auf die untenstehenden Hyperlinks.</v>
          </cell>
          <cell r="F828" t="str">
            <v>Siga los hyperlinks para ir a las tablas y haga click en la celda con el título para volver atrás</v>
          </cell>
          <cell r="J828"/>
          <cell r="K828"/>
        </row>
        <row r="829">
          <cell r="D829" t="str">
            <v>3.1 Cashflows calculated taking into account QUALIFYING SWAPS and assuming no PREPAYMENT</v>
          </cell>
          <cell r="E829" t="str">
            <v>3.1 Cashflows unter Berücksichtung QUALIFIZIERTER SWAPS und unter der Annahme, dass keine VORZEITIGEN ZAHLUNGEN geleistet werden</v>
          </cell>
          <cell r="F829" t="str">
            <v>3.1. Cashflows calculados teniendo en cuenta Swaps cualificados sin asumir PREPAGOS</v>
          </cell>
          <cell r="J829"/>
          <cell r="K829"/>
        </row>
        <row r="830">
          <cell r="D830" t="str">
            <v>3.2 Cashflows calculated taking into account QUALIFYING SWAPS and using the ASSUMED PREPAYMENT LEVEL</v>
          </cell>
          <cell r="E830" t="str">
            <v>3.2 Cashflows unter Berücksichtigung QUALIFIZIERTER SWAPS und unter der Annahme, dass die ANGENOMMENEN VORZEITIGEN ZAHLUNGEN geleistet werden</v>
          </cell>
          <cell r="F830" t="str">
            <v>3.2. Cashflows calculados teniendo en cuenta Swaps cualificados considerando el NIVEL DE PREPAGOS ASUMIDO</v>
          </cell>
          <cell r="J830"/>
          <cell r="K830"/>
        </row>
        <row r="831">
          <cell r="D831" t="str">
            <v>3.3 Cashflows calculated ignoring all swaps and assuming no PREPAYMENTS</v>
          </cell>
          <cell r="E831" t="str">
            <v>3.3 Cashflows ohne Berücksichtung von Swaps und unter der Annahme, dass keine VORZEITIGEN ZAHLUNGEN geleistet werden</v>
          </cell>
          <cell r="F831" t="str">
            <v>3.3. Cashflows calculados ignorando Swaps y  sin asumir PREPAGOS</v>
          </cell>
          <cell r="J831"/>
          <cell r="K831"/>
        </row>
        <row r="832">
          <cell r="D832" t="str">
            <v>3.4 Cashflows calculated ignoring all swaps and assuming ASSUMED PREPAYMENT LEVEL</v>
          </cell>
          <cell r="E832" t="str">
            <v>3.4 Cashflows ohne Berücksichtigung von Swaps und unter der Annahme, dass die ANGENOMMENEN VORZEITIGEN ZAHLUNGEN geleistet werden</v>
          </cell>
          <cell r="F832" t="str">
            <v>3.4. Cashflows calculados ignorando Swaps y considerando el NIVEL DE PREPAGOS ASUMIDO</v>
          </cell>
          <cell r="J832"/>
          <cell r="K832"/>
        </row>
        <row r="833">
          <cell r="D833"/>
          <cell r="F833"/>
          <cell r="J833"/>
          <cell r="K833"/>
        </row>
        <row r="834">
          <cell r="D834" t="str">
            <v>3.1 Cashflows calculated taking into account QUALIFYING SWAPS and assuming no PREPAYMENT</v>
          </cell>
          <cell r="E834" t="str">
            <v>3.1 Cashflows unter Berücksichtung QUALIFIZIERTER SWAPS und unter der Annahme, dass keine VORZEITIGEN ZAHLUNGEN geleistet werden</v>
          </cell>
          <cell r="F834" t="str">
            <v>3.1. Cashflows calculados teniendo en cuenta Swaps cualificados sin asumir PREPAGOS</v>
          </cell>
          <cell r="J834"/>
          <cell r="K834"/>
        </row>
        <row r="835">
          <cell r="D835"/>
          <cell r="F835"/>
          <cell r="J835"/>
          <cell r="K835"/>
        </row>
        <row r="836">
          <cell r="D836" t="str">
            <v>Quarters</v>
          </cell>
          <cell r="E836" t="str">
            <v>Quartale</v>
          </cell>
          <cell r="F836" t="str">
            <v>Trimestres</v>
          </cell>
          <cell r="J836"/>
          <cell r="K836"/>
        </row>
        <row r="837">
          <cell r="D837" t="str">
            <v>Cover-Pool (assets)</v>
          </cell>
          <cell r="E837" t="str">
            <v>Vermögenswerte in der DECKUNGSMASSE</v>
          </cell>
          <cell r="F837" t="str">
            <v>Cartera Subyacebte (Activos)</v>
          </cell>
          <cell r="J837"/>
          <cell r="K837"/>
        </row>
        <row r="838">
          <cell r="D838" t="str">
            <v>fixed rate Assets</v>
          </cell>
          <cell r="E838" t="str">
            <v>fest verzinsliche Vermögenswerte</v>
          </cell>
          <cell r="F838" t="str">
            <v>Activos a tipo fijo</v>
          </cell>
          <cell r="J838"/>
          <cell r="K838"/>
        </row>
        <row r="839">
          <cell r="D839" t="str">
            <v>Principal Received</v>
          </cell>
          <cell r="E839" t="str">
            <v>Erhaltene Tilgungszahlungen</v>
          </cell>
          <cell r="F839" t="str">
            <v>Principal Recibido</v>
          </cell>
          <cell r="J839"/>
          <cell r="K839"/>
        </row>
        <row r="840">
          <cell r="D840" t="str">
            <v>Interest Received</v>
          </cell>
          <cell r="E840" t="str">
            <v>Erhaltene Zinszahlungen</v>
          </cell>
          <cell r="F840" t="str">
            <v>Interés Recibido</v>
          </cell>
          <cell r="J840"/>
          <cell r="K840"/>
        </row>
        <row r="841">
          <cell r="D841" t="str">
            <v>floating rate Assets</v>
          </cell>
          <cell r="E841" t="str">
            <v>variabel verzinsliche Vermögenswerte</v>
          </cell>
          <cell r="F841" t="str">
            <v>Activos a tipo variable</v>
          </cell>
          <cell r="J841"/>
          <cell r="K841"/>
        </row>
        <row r="842">
          <cell r="D842" t="str">
            <v>Principal Received</v>
          </cell>
          <cell r="E842" t="str">
            <v>Erhaltene Tilgungszahlungen</v>
          </cell>
          <cell r="F842" t="str">
            <v>Principal Recibido</v>
          </cell>
          <cell r="J842"/>
          <cell r="K842"/>
        </row>
        <row r="843">
          <cell r="D843" t="str">
            <v>Interest Received</v>
          </cell>
          <cell r="E843" t="str">
            <v>Erhaltene Zinszahlungen</v>
          </cell>
          <cell r="F843" t="str">
            <v>Interés Recibido</v>
          </cell>
          <cell r="J843"/>
          <cell r="K843"/>
        </row>
        <row r="844">
          <cell r="D844" t="str">
            <v>Covered Bonds (liabilities)</v>
          </cell>
          <cell r="E844" t="str">
            <v>gedeckte Schuldverschreibungen (Verbindlichkeiten)</v>
          </cell>
          <cell r="F844" t="str">
            <v>Cédulas (Pasivos)</v>
          </cell>
          <cell r="J844"/>
          <cell r="K844"/>
        </row>
        <row r="845">
          <cell r="D845" t="str">
            <v>fixed rate liabilities</v>
          </cell>
          <cell r="E845" t="str">
            <v>fest verzinsliche Verbindlichkeiten</v>
          </cell>
          <cell r="F845" t="str">
            <v>Cédulas a tipo fijo</v>
          </cell>
          <cell r="J845"/>
          <cell r="K845"/>
        </row>
        <row r="846">
          <cell r="D846" t="str">
            <v>Principal Paid</v>
          </cell>
          <cell r="E846" t="str">
            <v>Gezahlt Tilgungszahlungen</v>
          </cell>
          <cell r="F846" t="str">
            <v>Principal Recibido</v>
          </cell>
          <cell r="J846"/>
          <cell r="K846"/>
        </row>
        <row r="847">
          <cell r="D847" t="str">
            <v>Interest Paid</v>
          </cell>
          <cell r="E847" t="str">
            <v>Gezahlt Zinszahlungen</v>
          </cell>
          <cell r="F847" t="str">
            <v>Interés Recibido</v>
          </cell>
          <cell r="J847"/>
          <cell r="K847"/>
        </row>
        <row r="848">
          <cell r="D848" t="str">
            <v>floating rate liabilities</v>
          </cell>
          <cell r="E848" t="str">
            <v>variabel verzinsliche Verbindlichkeiten</v>
          </cell>
          <cell r="F848" t="str">
            <v>Cédulas a tipo variable</v>
          </cell>
          <cell r="J848"/>
          <cell r="K848"/>
        </row>
        <row r="849">
          <cell r="D849" t="str">
            <v>Principal Paid</v>
          </cell>
          <cell r="E849" t="str">
            <v>Gezahlt Tilgungszahlungen</v>
          </cell>
          <cell r="F849" t="str">
            <v>Principal Recibido</v>
          </cell>
          <cell r="J849"/>
          <cell r="K849"/>
        </row>
        <row r="850">
          <cell r="D850" t="str">
            <v>Interest Paid</v>
          </cell>
          <cell r="E850" t="str">
            <v>Gezahlt Zinszahlungen</v>
          </cell>
          <cell r="F850" t="str">
            <v>Interés Recibido</v>
          </cell>
          <cell r="J850"/>
          <cell r="K850"/>
        </row>
        <row r="851">
          <cell r="D851"/>
          <cell r="F851"/>
          <cell r="J851"/>
          <cell r="K851"/>
        </row>
        <row r="852">
          <cell r="D852" t="str">
            <v>3.2 Cashflows calculated taking into account QUALIFYING SWAPS and using the ASSUMED PREPAYMENT LEVEL</v>
          </cell>
          <cell r="E852" t="str">
            <v>3.2 Cashflows unter Berücksichtigung QUALIFIZIERTER SWAPS und unter der Annahme, dass die ANGENOMMENEN VORZEITIGEN ZAHLUNGEN geleistet werden</v>
          </cell>
          <cell r="F852" t="str">
            <v>3.2. Cashflows calculados teniendo en cuenta Swaps cualificados considerando el NIVEL DE PREPAGOS ASUMIDO</v>
          </cell>
          <cell r="J852"/>
          <cell r="K852"/>
        </row>
        <row r="853">
          <cell r="D853" t="str">
            <v>Cover-Pool (assets)</v>
          </cell>
          <cell r="E853" t="str">
            <v>Vermögenswerte in der DECKUNGSMASSE</v>
          </cell>
          <cell r="F853" t="str">
            <v>Cartera Subyacebte (Activos)</v>
          </cell>
          <cell r="J853"/>
          <cell r="K853"/>
        </row>
        <row r="854">
          <cell r="D854" t="str">
            <v>fixed rate Assets</v>
          </cell>
          <cell r="E854" t="str">
            <v>fest verzinsliche Vermögenswerte</v>
          </cell>
          <cell r="F854" t="str">
            <v>Activos a tipo fijo</v>
          </cell>
          <cell r="J854"/>
          <cell r="K854"/>
        </row>
        <row r="855">
          <cell r="D855" t="str">
            <v>Principal Received</v>
          </cell>
          <cell r="E855" t="str">
            <v>Erhaltene Tilgungszahlungen</v>
          </cell>
          <cell r="F855" t="str">
            <v>Principal Recibido</v>
          </cell>
          <cell r="J855"/>
          <cell r="K855"/>
        </row>
        <row r="856">
          <cell r="D856" t="str">
            <v>Interest Received</v>
          </cell>
          <cell r="E856" t="str">
            <v>Erhaltene Zinszahlungen</v>
          </cell>
          <cell r="F856" t="str">
            <v>Interés Recibido</v>
          </cell>
          <cell r="J856"/>
          <cell r="K856"/>
        </row>
        <row r="857">
          <cell r="D857" t="str">
            <v>floating rate Assets</v>
          </cell>
          <cell r="E857" t="str">
            <v>variabel verzinsliche Vermögenswerte</v>
          </cell>
          <cell r="F857" t="str">
            <v>Activos a tipo variable</v>
          </cell>
          <cell r="J857"/>
          <cell r="K857"/>
        </row>
        <row r="858">
          <cell r="D858" t="str">
            <v>Principal Received</v>
          </cell>
          <cell r="E858" t="str">
            <v>Erhaltene Tilgungszahlungen</v>
          </cell>
          <cell r="F858" t="str">
            <v>Principal Recibido</v>
          </cell>
          <cell r="J858"/>
          <cell r="K858"/>
        </row>
        <row r="859">
          <cell r="D859" t="str">
            <v>Interest Received</v>
          </cell>
          <cell r="E859" t="str">
            <v>Erhaltene Zinszahlungen</v>
          </cell>
          <cell r="F859" t="str">
            <v>Interés Recibido</v>
          </cell>
          <cell r="J859"/>
          <cell r="K859"/>
        </row>
        <row r="860">
          <cell r="D860" t="str">
            <v>Covered Bonds (liabilities)</v>
          </cell>
          <cell r="E860" t="str">
            <v>gedeckte Schuldverschreibungen (Verbindlichkeiten)</v>
          </cell>
          <cell r="F860" t="str">
            <v>Cédulas (Pasivos)</v>
          </cell>
          <cell r="J860"/>
          <cell r="K860"/>
        </row>
        <row r="861">
          <cell r="D861" t="str">
            <v>fixed rate liabilities</v>
          </cell>
          <cell r="E861" t="str">
            <v>fest verzinsliche Verbindlichkeiten</v>
          </cell>
          <cell r="F861" t="str">
            <v>Cédulas a tipo fijo</v>
          </cell>
          <cell r="J861"/>
          <cell r="K861"/>
        </row>
        <row r="862">
          <cell r="D862" t="str">
            <v>Principal Paid</v>
          </cell>
          <cell r="E862" t="str">
            <v>Gezahlt Tilgungszahlungen</v>
          </cell>
          <cell r="F862" t="str">
            <v>Principal Recibido</v>
          </cell>
          <cell r="J862"/>
          <cell r="K862"/>
        </row>
        <row r="863">
          <cell r="D863" t="str">
            <v>Interest Paid</v>
          </cell>
          <cell r="E863" t="str">
            <v>Gezahlt Zinszahlungen</v>
          </cell>
          <cell r="F863" t="str">
            <v>Interés Recibido</v>
          </cell>
          <cell r="J863"/>
          <cell r="K863"/>
        </row>
        <row r="864">
          <cell r="D864" t="str">
            <v>floating rate liabilities</v>
          </cell>
          <cell r="E864" t="str">
            <v>variabel verzinsliche Verbindlichkeiten</v>
          </cell>
          <cell r="F864" t="str">
            <v>Cédulas a tipo variable</v>
          </cell>
          <cell r="J864"/>
          <cell r="K864"/>
        </row>
        <row r="865">
          <cell r="D865" t="str">
            <v>Principal Paid</v>
          </cell>
          <cell r="E865" t="str">
            <v>Gezahlt Tilgungszahlungen</v>
          </cell>
          <cell r="F865" t="str">
            <v>Principal Recibido</v>
          </cell>
          <cell r="J865"/>
          <cell r="K865"/>
        </row>
        <row r="866">
          <cell r="D866" t="str">
            <v>Interest Paid</v>
          </cell>
          <cell r="E866" t="str">
            <v>Gezahlt Zinszahlungen</v>
          </cell>
          <cell r="F866" t="str">
            <v>Interés Recibido</v>
          </cell>
          <cell r="J866"/>
          <cell r="K866"/>
        </row>
        <row r="867">
          <cell r="D867"/>
          <cell r="F867"/>
          <cell r="J867"/>
          <cell r="K867"/>
        </row>
        <row r="868">
          <cell r="D868" t="str">
            <v>3.3 Cashflows calculated ignoring all swaps and assuming no PREPAYMENTS</v>
          </cell>
          <cell r="E868" t="str">
            <v>3.3 Cashflows ohne Berücksichtung von Swaps und unter der Annahme, dass keine VORZEITIGEN ZAHLUNGEN geleistet werden</v>
          </cell>
          <cell r="F868" t="str">
            <v>3.3. Cashflows calculados ignorando Swaps y  sin asumir PREPAGOS</v>
          </cell>
          <cell r="J868"/>
          <cell r="K868"/>
        </row>
        <row r="869">
          <cell r="D869" t="str">
            <v>Cover-Pool (assets)</v>
          </cell>
          <cell r="E869" t="str">
            <v>Vermögenswerte in der DECKUNGSMASSE</v>
          </cell>
          <cell r="F869" t="str">
            <v>Cartera Subyacebte (Activos)</v>
          </cell>
          <cell r="J869"/>
          <cell r="K869"/>
        </row>
        <row r="870">
          <cell r="D870" t="str">
            <v>fixed rate Assets</v>
          </cell>
          <cell r="E870" t="str">
            <v>fest verzinsliche Vermögenswerte</v>
          </cell>
          <cell r="F870" t="str">
            <v>Activos a tipo fijo</v>
          </cell>
          <cell r="J870"/>
          <cell r="K870"/>
        </row>
        <row r="871">
          <cell r="D871" t="str">
            <v>Principal Received</v>
          </cell>
          <cell r="E871" t="str">
            <v>Erhaltene Tilgungszahlungen</v>
          </cell>
          <cell r="F871" t="str">
            <v>Principal Recibido</v>
          </cell>
          <cell r="J871"/>
          <cell r="K871"/>
        </row>
        <row r="872">
          <cell r="D872" t="str">
            <v>Interest Received</v>
          </cell>
          <cell r="E872" t="str">
            <v>Erhaltene Zinszahlungen</v>
          </cell>
          <cell r="F872" t="str">
            <v>Interés Recibido</v>
          </cell>
          <cell r="J872"/>
          <cell r="K872"/>
        </row>
        <row r="873">
          <cell r="D873" t="str">
            <v>floating rate Assets</v>
          </cell>
          <cell r="E873" t="str">
            <v>variabel verzinsliche Vermögenswerte</v>
          </cell>
          <cell r="F873" t="str">
            <v>Activos a tipo variable</v>
          </cell>
          <cell r="J873"/>
          <cell r="K873"/>
        </row>
        <row r="874">
          <cell r="D874" t="str">
            <v>Principal Received</v>
          </cell>
          <cell r="E874" t="str">
            <v>Erhaltene Tilgungszahlungen</v>
          </cell>
          <cell r="F874" t="str">
            <v>Principal Recibido</v>
          </cell>
          <cell r="J874"/>
          <cell r="K874"/>
        </row>
        <row r="875">
          <cell r="D875" t="str">
            <v>Interest Received</v>
          </cell>
          <cell r="E875" t="str">
            <v>Erhaltene Zinszahlungen</v>
          </cell>
          <cell r="F875" t="str">
            <v>Interés Recibido</v>
          </cell>
          <cell r="J875"/>
          <cell r="K875"/>
        </row>
        <row r="876">
          <cell r="D876" t="str">
            <v>Covered Bonds (liabilities)</v>
          </cell>
          <cell r="E876" t="str">
            <v>gedeckte Schuldverschreibungen (Verbindlichkeiten)</v>
          </cell>
          <cell r="F876" t="str">
            <v>Cédulas (Pasivos)</v>
          </cell>
          <cell r="J876"/>
          <cell r="K876"/>
        </row>
        <row r="877">
          <cell r="D877" t="str">
            <v>fixed rate liabilities</v>
          </cell>
          <cell r="E877" t="str">
            <v>fest verzinsliche Verbindlichkeiten</v>
          </cell>
          <cell r="F877" t="str">
            <v>Cédulas a tipo fijo</v>
          </cell>
          <cell r="J877"/>
          <cell r="K877"/>
        </row>
        <row r="878">
          <cell r="D878" t="str">
            <v>Principal Paid</v>
          </cell>
          <cell r="E878" t="str">
            <v>Gezahlt Tilgungszahlungen</v>
          </cell>
          <cell r="F878" t="str">
            <v>Principal Recibido</v>
          </cell>
          <cell r="J878"/>
          <cell r="K878"/>
        </row>
        <row r="879">
          <cell r="D879" t="str">
            <v>Interest Paid</v>
          </cell>
          <cell r="E879" t="str">
            <v>Gezahlt Zinszahlungen</v>
          </cell>
          <cell r="F879" t="str">
            <v>Interés Recibido</v>
          </cell>
          <cell r="J879"/>
          <cell r="K879"/>
        </row>
        <row r="880">
          <cell r="D880" t="str">
            <v>floating rate liabilities</v>
          </cell>
          <cell r="E880" t="str">
            <v>variabel verzinsliche Verbindlichkeiten</v>
          </cell>
          <cell r="F880" t="str">
            <v>Cédulas a tipo variable</v>
          </cell>
          <cell r="J880"/>
          <cell r="K880"/>
        </row>
        <row r="881">
          <cell r="D881" t="str">
            <v>Principal Paid</v>
          </cell>
          <cell r="E881" t="str">
            <v>Gezahlt Tilgungszahlungen</v>
          </cell>
          <cell r="F881" t="str">
            <v>Principal Recibido</v>
          </cell>
          <cell r="J881"/>
          <cell r="K881"/>
        </row>
        <row r="882">
          <cell r="D882" t="str">
            <v>Interest Paid</v>
          </cell>
          <cell r="E882" t="str">
            <v>Gezahlt Zinszahlungen</v>
          </cell>
          <cell r="F882" t="str">
            <v>Interés Recibido</v>
          </cell>
          <cell r="J882"/>
          <cell r="K882"/>
        </row>
        <row r="883">
          <cell r="D883"/>
          <cell r="F883"/>
          <cell r="J883"/>
          <cell r="K883"/>
        </row>
        <row r="884">
          <cell r="D884" t="str">
            <v>3.4 Cashflows calculated ignoring all swaps and assuming ASSUMED PREPAYMENT LEVEL</v>
          </cell>
          <cell r="E884" t="str">
            <v>3.4 Cashflows ohne Berücksichtigung von Swaps und unter der Annahme, dass die ANGENOMMENEN VORZEITIGEN ZAHLUNGEN geleistet werden</v>
          </cell>
          <cell r="F884" t="str">
            <v>3.4. Cashflows calculados ignorando Swaps y considerando el NIVEL DE PREPAGOS ASUMIDO</v>
          </cell>
          <cell r="J884"/>
          <cell r="K884"/>
        </row>
        <row r="885">
          <cell r="D885" t="str">
            <v>Cover-Pool (assets)</v>
          </cell>
          <cell r="E885" t="str">
            <v>Vermögenswerte in der DECKUNGSMASSE</v>
          </cell>
          <cell r="F885" t="str">
            <v>Cartera Subyacebte (Activos)</v>
          </cell>
          <cell r="J885"/>
          <cell r="K885"/>
        </row>
        <row r="886">
          <cell r="D886" t="str">
            <v>fixed rate Assets</v>
          </cell>
          <cell r="E886" t="str">
            <v>fest verzinsliche Vermögenswerte</v>
          </cell>
          <cell r="F886" t="str">
            <v>Activos a tipo fijo</v>
          </cell>
          <cell r="J886"/>
          <cell r="K886"/>
        </row>
        <row r="887">
          <cell r="D887" t="str">
            <v>Principal Received</v>
          </cell>
          <cell r="E887" t="str">
            <v>Erhaltene Tilgungszahlungen</v>
          </cell>
          <cell r="F887" t="str">
            <v>Principal Recibido</v>
          </cell>
          <cell r="J887"/>
          <cell r="K887"/>
        </row>
        <row r="888">
          <cell r="D888" t="str">
            <v>Interest Received</v>
          </cell>
          <cell r="E888" t="str">
            <v>Erhaltene Zinszahlungen</v>
          </cell>
          <cell r="F888" t="str">
            <v>Interés Recibido</v>
          </cell>
          <cell r="J888"/>
          <cell r="K888"/>
        </row>
        <row r="889">
          <cell r="D889" t="str">
            <v>floating rate Assets</v>
          </cell>
          <cell r="E889" t="str">
            <v>variabel verzinsliche Vermögenswerte</v>
          </cell>
          <cell r="F889" t="str">
            <v>Activos a tipo variable</v>
          </cell>
          <cell r="J889"/>
          <cell r="K889"/>
        </row>
        <row r="890">
          <cell r="D890" t="str">
            <v>Principal Received</v>
          </cell>
          <cell r="E890" t="str">
            <v>Erhaltene Tilgungszahlungen</v>
          </cell>
          <cell r="F890" t="str">
            <v>Principal Recibido</v>
          </cell>
          <cell r="J890"/>
          <cell r="K890"/>
        </row>
        <row r="891">
          <cell r="D891" t="str">
            <v>Interest Received</v>
          </cell>
          <cell r="E891" t="str">
            <v>Erhaltene Zinszahlungen</v>
          </cell>
          <cell r="F891" t="str">
            <v>Interés Recibido</v>
          </cell>
          <cell r="J891"/>
          <cell r="K891"/>
        </row>
        <row r="892">
          <cell r="D892" t="str">
            <v>Covered Bonds (liabilities)</v>
          </cell>
          <cell r="E892" t="str">
            <v>gedeckte Schuldverschreibungen (Verbindlichkeiten)</v>
          </cell>
          <cell r="F892" t="str">
            <v>Cédulas (Pasivos)</v>
          </cell>
          <cell r="J892"/>
          <cell r="K892"/>
        </row>
        <row r="893">
          <cell r="D893" t="str">
            <v>fixed rate liabilities</v>
          </cell>
          <cell r="E893" t="str">
            <v>fest verzinsliche Verbindlichkeiten</v>
          </cell>
          <cell r="F893" t="str">
            <v>Cédulas a tipo fijo</v>
          </cell>
          <cell r="J893"/>
          <cell r="K893"/>
        </row>
        <row r="894">
          <cell r="D894" t="str">
            <v>Principal Paid</v>
          </cell>
          <cell r="E894" t="str">
            <v>Gezahlt Tilgungszahlungen</v>
          </cell>
          <cell r="F894" t="str">
            <v>Principal Recibido</v>
          </cell>
          <cell r="J894"/>
          <cell r="K894"/>
        </row>
        <row r="895">
          <cell r="D895" t="str">
            <v>Interest Paid</v>
          </cell>
          <cell r="E895" t="str">
            <v>Gezahlt Zinszahlungen</v>
          </cell>
          <cell r="F895" t="str">
            <v>Interés Recibido</v>
          </cell>
          <cell r="J895"/>
          <cell r="K895"/>
        </row>
        <row r="896">
          <cell r="D896" t="str">
            <v>floating rate liabilities</v>
          </cell>
          <cell r="E896" t="str">
            <v>variabel verzinsliche Verbindlichkeiten</v>
          </cell>
          <cell r="F896" t="str">
            <v>Cédulas a tipo variable</v>
          </cell>
          <cell r="J896"/>
          <cell r="K896"/>
        </row>
        <row r="897">
          <cell r="D897" t="str">
            <v>Principal Paid</v>
          </cell>
          <cell r="E897" t="str">
            <v>Gezahlt Tilgungszahlungen</v>
          </cell>
          <cell r="F897" t="str">
            <v>Principal Recibido</v>
          </cell>
          <cell r="J897"/>
          <cell r="K897"/>
        </row>
        <row r="898">
          <cell r="D898" t="str">
            <v>Interest Paid</v>
          </cell>
          <cell r="E898" t="str">
            <v>Gezahlt Zinszahlungen</v>
          </cell>
          <cell r="F898" t="str">
            <v>Interés Recibido</v>
          </cell>
          <cell r="J898"/>
          <cell r="K898"/>
        </row>
        <row r="899">
          <cell r="D899" t="str">
            <v>Outstanding principal at beginning of period</v>
          </cell>
          <cell r="E899" t="str">
            <v>Ausstehendes Nominal am Anfang des Quartals</v>
          </cell>
          <cell r="F899" t="str">
            <v>Saldo vivo al comienzo del periodo</v>
          </cell>
          <cell r="H899"/>
          <cell r="I899"/>
          <cell r="J899"/>
          <cell r="K899"/>
        </row>
        <row r="900">
          <cell r="D900" t="str">
            <v>Nominal Assets Balance</v>
          </cell>
          <cell r="E900" t="str">
            <v>Nominaler Vermögenswerte</v>
          </cell>
          <cell r="F900" t="str">
            <v>Valor nominal de los activos</v>
          </cell>
          <cell r="H900"/>
          <cell r="I900"/>
          <cell r="J900"/>
          <cell r="K900"/>
        </row>
        <row r="901">
          <cell r="D901" t="str">
            <v>Additional fields for Hedging (1) sheet</v>
          </cell>
          <cell r="E901"/>
          <cell r="J901"/>
          <cell r="K901"/>
        </row>
        <row r="902">
          <cell r="D902"/>
          <cell r="E902"/>
          <cell r="F902"/>
          <cell r="J902"/>
          <cell r="K902"/>
        </row>
        <row r="903">
          <cell r="D903" t="str">
            <v>Notional of Currency Swap &lt; 5 years</v>
          </cell>
          <cell r="E903" t="str">
            <v>Nominalwert der Währungsswaps &lt; 5 Jahre</v>
          </cell>
          <cell r="F903" t="str">
            <v>No aplicable a Cédulas</v>
          </cell>
          <cell r="J903"/>
          <cell r="K903"/>
        </row>
        <row r="904">
          <cell r="D904" t="str">
            <v>Notional of Currency Swaps with AVERAGE LIFE of less than 5 years</v>
          </cell>
          <cell r="E904" t="str">
            <v>Nominalwert der Währungsswaps mit einer DURCHSCHNITTLICHEN LAUFZEIT &lt; 5 Jahren</v>
          </cell>
          <cell r="F904" t="str">
            <v>No aplicable a Cédulas</v>
          </cell>
          <cell r="J904"/>
          <cell r="K904"/>
        </row>
        <row r="905">
          <cell r="D905" t="str">
            <v>Notional of Currency Swap 5 -&lt;10 years</v>
          </cell>
          <cell r="E905" t="str">
            <v>Nominalwert der Währungsswaps 5 - &lt;10 Jahre</v>
          </cell>
          <cell r="F905" t="str">
            <v>No aplicable a Cédulas</v>
          </cell>
          <cell r="J905"/>
          <cell r="K905"/>
        </row>
        <row r="906">
          <cell r="D906" t="str">
            <v>Notional of Currency Swaps with AVERAGE LIFE of 5 - &lt;10 years</v>
          </cell>
          <cell r="E906" t="str">
            <v>Nominalwert der Währungsswaps mit einer DURCHSCHNITTLICHEN LAUFZEIT von 5 - &lt; 10 Jahren</v>
          </cell>
          <cell r="F906" t="str">
            <v>No aplicable a Cédulas</v>
          </cell>
          <cell r="J906"/>
          <cell r="K906"/>
        </row>
        <row r="907">
          <cell r="D907" t="str">
            <v>Notional of Currency Swap 10 -&lt;15 years</v>
          </cell>
          <cell r="E907" t="str">
            <v>Nominalwert der Währungsswaps 10 - &lt;15 Jahre</v>
          </cell>
          <cell r="F907" t="str">
            <v>No aplicable a Cédulas</v>
          </cell>
          <cell r="J907"/>
          <cell r="K907"/>
        </row>
        <row r="908">
          <cell r="D908" t="str">
            <v>Notional of Currency Swaps with AVERAGE LIFE of 10 - &lt;15 years</v>
          </cell>
          <cell r="E908" t="str">
            <v>Nominalwert der Währungsswaps mit einer DURCHSCHNITTLICHEN LAUFZEIT von 10 - &lt; 15 Jahren</v>
          </cell>
          <cell r="F908" t="str">
            <v>No aplicable a Cédulas</v>
          </cell>
          <cell r="J908"/>
          <cell r="K908"/>
        </row>
        <row r="909">
          <cell r="D909" t="str">
            <v>Notional of Currency Swap 15 -&lt;25 years</v>
          </cell>
          <cell r="E909" t="str">
            <v>Nominalwert der Währungsswaps 15 - &lt;25 Jahre</v>
          </cell>
          <cell r="F909" t="str">
            <v>No aplicable a Cédulas</v>
          </cell>
          <cell r="J909"/>
          <cell r="K909"/>
        </row>
        <row r="910">
          <cell r="D910" t="str">
            <v>Notional of Currency Swaps with AVERAGE LIFE of 15 - &lt;25 years</v>
          </cell>
          <cell r="E910" t="str">
            <v>Nominalwert der Währungsswaps mit einer DURCHSCHNITTLICHEN LAUFZEIT von 15 - &lt; 25 Jahren</v>
          </cell>
          <cell r="F910" t="str">
            <v>No aplicable a Cédulas</v>
          </cell>
          <cell r="J910"/>
          <cell r="K910"/>
        </row>
        <row r="911">
          <cell r="D911" t="str">
            <v>Notional of Currency Swap 25 - &gt;25 years</v>
          </cell>
          <cell r="E911" t="str">
            <v>Nominalwert der Währungsswaps 25 Jahre und laenger</v>
          </cell>
          <cell r="F911" t="str">
            <v>No aplicable a Cédulas</v>
          </cell>
          <cell r="J911"/>
          <cell r="K911"/>
        </row>
        <row r="912">
          <cell r="D912" t="str">
            <v>Notional of Currency Swaps with AVERAGE LIFE of 25 and above years</v>
          </cell>
          <cell r="E912" t="str">
            <v>Nominalwert der Währungsswaps mit einer DURCHSCHNITTLICHEN LAUFZEIT mehr als 25 Jahren</v>
          </cell>
          <cell r="F912" t="str">
            <v>No aplicable a Cédulas</v>
          </cell>
          <cell r="J912"/>
          <cell r="K912"/>
        </row>
        <row r="913">
          <cell r="D913" t="str">
            <v>Average Currency Rate of Currency Swaps &lt; 5 years</v>
          </cell>
          <cell r="E913" t="str">
            <v>Durchschnittlicher Währungskurs der Währungsswaps &lt; 5 Jahre</v>
          </cell>
          <cell r="F913" t="str">
            <v>No aplicable a Cédulas</v>
          </cell>
          <cell r="J913"/>
          <cell r="K913"/>
        </row>
        <row r="914">
          <cell r="D914" t="str">
            <v>Average Currency Exchange Rate of Currency Swaps with an AVERAGE LIFE of less than 5 years</v>
          </cell>
          <cell r="E914" t="str">
            <v>Durchschnittlicher Währungskurs der Währungsswaps mit einer DURCHSCHNITTLICHEN LAUFZEIT &lt; 5 Jahre</v>
          </cell>
          <cell r="F914" t="str">
            <v>No aplicable a Cédulas</v>
          </cell>
          <cell r="J914"/>
          <cell r="K914"/>
        </row>
        <row r="915">
          <cell r="D915" t="str">
            <v>Average Currency Rate of Currency Swaps 5 -&lt;10 years</v>
          </cell>
          <cell r="E915" t="str">
            <v>Durchschnittlicher Währungskurs der Währungsswaps 5 - &lt; 10 Jahre</v>
          </cell>
          <cell r="F915" t="str">
            <v>No aplicable a Cédulas</v>
          </cell>
          <cell r="J915"/>
          <cell r="K915"/>
        </row>
        <row r="916">
          <cell r="D916" t="str">
            <v>Average Currency Exchange Rate of Currency Swaps with an AVERAGE LIFE of 5 - &lt;10 years</v>
          </cell>
          <cell r="E916" t="str">
            <v>Durchschnittlicher Währungskurs der Währungsswaps mit einer DURCHSCHNITTLICHEN LAUFZEIT von 5 - &lt; 10 Jahren</v>
          </cell>
          <cell r="F916" t="str">
            <v>No aplicable a Cédulas</v>
          </cell>
          <cell r="J916"/>
          <cell r="K916"/>
        </row>
        <row r="917">
          <cell r="D917" t="str">
            <v>Average Currency Rate of Currency Swaps 10 -&lt;15 years</v>
          </cell>
          <cell r="E917" t="str">
            <v>Durchschnittlicher Währungskurs der Währungsswaps 10 - &lt; 15 Jahre</v>
          </cell>
          <cell r="F917" t="str">
            <v>No aplicable a Cédulas</v>
          </cell>
          <cell r="J917"/>
          <cell r="K917"/>
        </row>
        <row r="918">
          <cell r="D918" t="str">
            <v>Average Currency Exchange Rate of Currency Swaps with an AVERAGE LIFE of 10 - &lt;15 years</v>
          </cell>
          <cell r="E918" t="str">
            <v>Durchschnittlicher Währungskurs der Währungsswaps mit einer DURCHSCHNITTLICHEN LAUFZEIT von 10 - &lt; 15 Jahren</v>
          </cell>
          <cell r="F918" t="str">
            <v>No aplicable a Cédulas</v>
          </cell>
          <cell r="J918"/>
          <cell r="K918"/>
        </row>
        <row r="919">
          <cell r="D919" t="str">
            <v>Average Currency Rate of Currency Swaps 15 -&lt;25 years</v>
          </cell>
          <cell r="E919" t="str">
            <v>Durchschnittlicher Währungskurs der Währungsswaps 15 - &lt; 25 Jahre</v>
          </cell>
          <cell r="F919" t="str">
            <v>No aplicable a Cédulas</v>
          </cell>
          <cell r="J919"/>
          <cell r="K919"/>
        </row>
        <row r="920">
          <cell r="D920" t="str">
            <v>Average Currency Exchange Rate of Currency Swaps with an AVERAGE LIFE of 15 - &lt;25 years</v>
          </cell>
          <cell r="E920" t="str">
            <v>Durchschnittlicher Währungskurs der Währungsswaps mit einer DURCHSCHNITTLICHEN LAUFZEIT von 15 - &lt; 25 Jahren</v>
          </cell>
          <cell r="F920" t="str">
            <v>No aplicable a Cédulas</v>
          </cell>
          <cell r="J920"/>
          <cell r="K920"/>
        </row>
        <row r="921">
          <cell r="D921" t="str">
            <v>Average Currency Rate of Currency Swaps 25 - &gt;25 years</v>
          </cell>
          <cell r="E921" t="str">
            <v>Durchschnittlicher Währungskurs der Währungsswaps  25 Jahre und laenger</v>
          </cell>
          <cell r="F921" t="str">
            <v>No aplicable a Cédulas</v>
          </cell>
          <cell r="J921"/>
          <cell r="K921"/>
        </row>
        <row r="922">
          <cell r="D922" t="str">
            <v>Average Currency Exchange Rate of Currency Swaps with an AVERAGE LIFE of 25 and above years</v>
          </cell>
          <cell r="E922" t="str">
            <v>Durchschnittlicher Währungskurs der Währungsswaps mit einer DURCHSCHNITTLICHEN LAUFZEIT von mehr als 25 Jahren</v>
          </cell>
          <cell r="F922" t="str">
            <v>No aplicable a Cédulas</v>
          </cell>
          <cell r="J922"/>
          <cell r="K922"/>
        </row>
        <row r="923">
          <cell r="D923"/>
          <cell r="E923"/>
          <cell r="F923"/>
          <cell r="J923"/>
          <cell r="K923"/>
        </row>
        <row r="924">
          <cell r="D924"/>
          <cell r="E924"/>
          <cell r="F924"/>
          <cell r="J924"/>
          <cell r="K924"/>
        </row>
        <row r="925">
          <cell r="D925" t="str">
            <v>Notional of Currency Swap &lt; 5 years</v>
          </cell>
          <cell r="E925" t="str">
            <v>Nominalwert der Währungsswaps &lt; 5 Jahre</v>
          </cell>
          <cell r="F925" t="str">
            <v>No aplicable a Cédulas</v>
          </cell>
          <cell r="J925"/>
          <cell r="K925"/>
        </row>
        <row r="926">
          <cell r="D926" t="str">
            <v>Notional of Currency Swaps with AVERAGE LIFE of less than 5 years</v>
          </cell>
          <cell r="E926" t="str">
            <v>Nominalwert der Währungsswaps mit einer DURCHSCHNITTLICHEN LAUFZEIT &lt; 5 Jahren</v>
          </cell>
          <cell r="F926" t="str">
            <v>No aplicable a Cédulas</v>
          </cell>
          <cell r="J926"/>
          <cell r="K926"/>
        </row>
        <row r="927">
          <cell r="D927" t="str">
            <v>Notional of Currency Swap 5 -&lt;10 years</v>
          </cell>
          <cell r="E927" t="str">
            <v>Nominalwert der Währungsswaps 5 - &lt;10 Jahre</v>
          </cell>
          <cell r="F927" t="str">
            <v>No aplicable a Cédulas</v>
          </cell>
          <cell r="J927"/>
          <cell r="K927"/>
        </row>
        <row r="928">
          <cell r="D928" t="str">
            <v>Notional of Currency Swaps with AVERAGE LIFE of 5 - &lt;10 years</v>
          </cell>
          <cell r="E928" t="str">
            <v>Nominalwert der Währungsswaps mit einer DURCHSCHNITTLICHEN LAUFZEIT von 5 - &lt; 10 Jahren</v>
          </cell>
          <cell r="F928" t="str">
            <v>No aplicable a Cédulas</v>
          </cell>
          <cell r="J928"/>
          <cell r="K928"/>
        </row>
        <row r="929">
          <cell r="D929" t="str">
            <v>Notional of Currency Swap 10 -&lt;15 years</v>
          </cell>
          <cell r="E929" t="str">
            <v>Nominalwert der Währungsswaps 10 - &lt;15 Jahre</v>
          </cell>
          <cell r="F929" t="str">
            <v>No aplicable a Cédulas</v>
          </cell>
          <cell r="J929"/>
          <cell r="K929"/>
        </row>
        <row r="930">
          <cell r="D930" t="str">
            <v>Notional of Currency Swaps with AVERAGE LIFE of 10 - &lt;15 years</v>
          </cell>
          <cell r="E930" t="str">
            <v>Nominalwert der Währungsswaps mit einer DURCHSCHNITTLICHEN LAUFZEIT von 10 - &lt; 15 Jahren</v>
          </cell>
          <cell r="F930" t="str">
            <v>No aplicable a Cédulas</v>
          </cell>
          <cell r="J930"/>
          <cell r="K930"/>
        </row>
        <row r="931">
          <cell r="D931" t="str">
            <v>Notional of Currency Swap 15 -&lt;25 years</v>
          </cell>
          <cell r="E931" t="str">
            <v>Nominalwert der Währungsswaps 15 - &lt;25 Jahre</v>
          </cell>
          <cell r="F931" t="str">
            <v>No aplicable a Cédulas</v>
          </cell>
          <cell r="J931"/>
          <cell r="K931"/>
        </row>
        <row r="932">
          <cell r="D932" t="str">
            <v>Notional of Currency Swaps with AVERAGE LIFE of 15 - &lt;25 years</v>
          </cell>
          <cell r="E932" t="str">
            <v>Nominalwert der Währungsswaps mit einer DURCHSCHNITTLICHEN LAUFZEIT von 15 - &lt; 25 Jahren</v>
          </cell>
          <cell r="F932" t="str">
            <v>No aplicable a Cédulas</v>
          </cell>
          <cell r="J932"/>
          <cell r="K932"/>
        </row>
        <row r="933">
          <cell r="D933" t="str">
            <v>Notional of Currency Swap 25 - &gt;25 years</v>
          </cell>
          <cell r="E933" t="str">
            <v>Nominalwert der Währungsswaps 25 Jahre und laenger</v>
          </cell>
          <cell r="F933" t="str">
            <v>No aplicable a Cédulas</v>
          </cell>
          <cell r="J933"/>
          <cell r="K933"/>
        </row>
        <row r="934">
          <cell r="D934" t="str">
            <v>Notional of Currency Swaps with AVERAGE LIFE of 25 and above years</v>
          </cell>
          <cell r="E934" t="str">
            <v>Nominalwert der Währungsswaps mit einer DURCHSCHNITTLICHEN LAUFZEIT mehr als 25 Jahren</v>
          </cell>
          <cell r="F934" t="str">
            <v>No aplicable a Cédulas</v>
          </cell>
          <cell r="J934"/>
          <cell r="K934"/>
        </row>
        <row r="935">
          <cell r="D935" t="str">
            <v>Average Currency Rate of Currency Swaps &lt; 5 years</v>
          </cell>
          <cell r="E935" t="str">
            <v>Durchschnittlicher Währungskurs der Währungsswaps &lt; 5 Jahre</v>
          </cell>
          <cell r="F935" t="str">
            <v>No aplicable a Cédulas</v>
          </cell>
          <cell r="J935"/>
          <cell r="K935"/>
        </row>
        <row r="936">
          <cell r="D936" t="str">
            <v>Average Currency Exchange Rate of Currency Swaps with an AVERAGE LIFE of less than 5 years</v>
          </cell>
          <cell r="E936" t="str">
            <v>Durchschnittlicher Währungskurs der Währungsswaps mit einer DURCHSCHNITTLICHEN LAUFZEIT &lt; 5 Jahre</v>
          </cell>
          <cell r="F936" t="str">
            <v>No aplicable a Cédulas</v>
          </cell>
          <cell r="J936"/>
          <cell r="K936"/>
        </row>
        <row r="937">
          <cell r="D937" t="str">
            <v>Average Currency Rate of Currency Swaps 5 -&lt;10 years</v>
          </cell>
          <cell r="E937" t="str">
            <v>Durchschnittlicher Währungskurs der Währungsswaps 5 - &lt; 10 Jahre</v>
          </cell>
          <cell r="F937" t="str">
            <v>No aplicable a Cédulas</v>
          </cell>
          <cell r="J937"/>
          <cell r="K937"/>
        </row>
        <row r="938">
          <cell r="D938" t="str">
            <v>Average Currency Exchange Rate of Currency Swaps with an AVERAGE LIFE of 5 - &lt;10 years</v>
          </cell>
          <cell r="E938" t="str">
            <v>Durchschnittlicher Währungskurs der Währungsswaps mit einer DURCHSCHNITTLICHEN LAUFZEIT von 5 - &lt; 10 Jahren</v>
          </cell>
          <cell r="F938" t="str">
            <v>No aplicable a Cédulas</v>
          </cell>
          <cell r="J938"/>
          <cell r="K938"/>
        </row>
        <row r="939">
          <cell r="D939" t="str">
            <v>Average Currency Rate of Currency Swaps 10 -&lt;15 years</v>
          </cell>
          <cell r="E939" t="str">
            <v>Durchschnittlicher Währungskurs der Währungsswaps 10 - &lt; 15 Jahre</v>
          </cell>
          <cell r="F939" t="str">
            <v>No aplicable a Cédulas</v>
          </cell>
          <cell r="J939"/>
          <cell r="K939"/>
        </row>
        <row r="940">
          <cell r="D940" t="str">
            <v>Average Currency Exchange Rate of Currency Swaps with an AVERAGE LIFE of 10 - &lt;15 years</v>
          </cell>
          <cell r="E940" t="str">
            <v>Durchschnittlicher Währungskurs der Währungsswaps mit einer DURCHSCHNITTLICHEN LAUFZEIT von 10 - &lt; 15 Jahren</v>
          </cell>
          <cell r="F940" t="str">
            <v>No aplicable a Cédulas</v>
          </cell>
          <cell r="J940"/>
          <cell r="K940"/>
        </row>
        <row r="941">
          <cell r="D941" t="str">
            <v>Average Currency Rate of Currency Swaps 15 -&lt;25 years</v>
          </cell>
          <cell r="E941" t="str">
            <v>Durchschnittlicher Währungskurs der Währungsswaps 15 - &lt; 25 Jahre</v>
          </cell>
          <cell r="F941" t="str">
            <v>No aplicable a Cédulas</v>
          </cell>
          <cell r="J941"/>
          <cell r="K941"/>
        </row>
        <row r="942">
          <cell r="D942" t="str">
            <v>Average Currency Exchange Rate of Currency Swaps with an AVERAGE LIFE of 15 - &lt;25 years</v>
          </cell>
          <cell r="E942" t="str">
            <v>Durchschnittlicher Währungskurs der Währungsswaps mit einer DURCHSCHNITTLICHEN LAUFZEIT von 15 - &lt; 25 Jahren</v>
          </cell>
          <cell r="F942" t="str">
            <v>No aplicable a Cédulas</v>
          </cell>
          <cell r="J942"/>
          <cell r="K942"/>
        </row>
        <row r="943">
          <cell r="D943" t="str">
            <v>Average Currency Rate of Currency Swaps 25 - &gt;25 years</v>
          </cell>
          <cell r="E943" t="str">
            <v>Durchschnittlicher Währungskurs der Währungsswaps  25 Jahre und laenger</v>
          </cell>
          <cell r="F943" t="str">
            <v>No aplicable a Cédulas</v>
          </cell>
          <cell r="J943"/>
          <cell r="K943"/>
        </row>
        <row r="944">
          <cell r="D944" t="str">
            <v>Average Currency Exchange Rate of Currency Swaps with an AVERAGE LIFE of 25 and above years</v>
          </cell>
          <cell r="E944" t="str">
            <v>Durchschnittlicher Währungskurs der Währungsswaps mit einer DURCHSCHNITTLICHEN LAUFZEIT von mehr als 25 Jahren</v>
          </cell>
          <cell r="F944" t="str">
            <v>No aplicable a Cédulas</v>
          </cell>
          <cell r="J944"/>
          <cell r="K944"/>
        </row>
        <row r="945">
          <cell r="D945"/>
          <cell r="E945"/>
          <cell r="F945"/>
          <cell r="J945"/>
          <cell r="K945"/>
        </row>
        <row r="946">
          <cell r="D946"/>
          <cell r="E946"/>
          <cell r="F946"/>
          <cell r="J946"/>
          <cell r="K946"/>
        </row>
        <row r="947">
          <cell r="D947"/>
          <cell r="E947"/>
          <cell r="F947"/>
          <cell r="J947"/>
          <cell r="K947"/>
        </row>
        <row r="948">
          <cell r="D948" t="str">
            <v>Additional fields for Over-Collateralisation sheet</v>
          </cell>
          <cell r="E948"/>
          <cell r="F948"/>
          <cell r="J948"/>
          <cell r="K948"/>
        </row>
        <row r="949">
          <cell r="D949" t="str">
            <v>Overview calculation of NOMINAL OC</v>
          </cell>
          <cell r="E949" t="str">
            <v xml:space="preserve"> Nominale ÜBERBESICHERUNG (Übersicht)</v>
          </cell>
          <cell r="F949" t="str">
            <v>Cálculo del OC NOMINAL</v>
          </cell>
          <cell r="J949"/>
          <cell r="K949"/>
        </row>
        <row r="950">
          <cell r="D950" t="str">
            <v>Where assets and/or covered bonds are in different currencies only, reproduce data above but ignore the impact of any currency swaps (i.e. CURRENCY CONVERSION should be at the exchange rate at the Report Date)</v>
          </cell>
          <cell r="E950" t="str">
            <v>Sollten Darlehen und/oder GEDECKTE SCHULDVERSCHREIBUNGEN in verschiedenen Währungen vorhanden sein:  Nominale ÜBERBESICHERUNG ohne die Berücksichtigung von Currency Swaps (d.h. WÄHRUNGSUMRECHUNG zur Spot Rate am BERICHTSDATUM)</v>
          </cell>
          <cell r="F950" t="str">
            <v>En caso de que los activos estén en diversas divisas, ignorar el impacto de los swaps de divisas (cualquier impacto de swaps debe ser ignorado en el caso de Cédulas)</v>
          </cell>
          <cell r="J950"/>
          <cell r="K950"/>
        </row>
        <row r="951">
          <cell r="D951"/>
          <cell r="E951"/>
          <cell r="F951"/>
          <cell r="J951"/>
          <cell r="K951"/>
        </row>
        <row r="952">
          <cell r="D952"/>
          <cell r="E952"/>
          <cell r="F952"/>
          <cell r="J952"/>
          <cell r="K952"/>
        </row>
        <row r="953">
          <cell r="D953" t="str">
            <v>NOMINAL OC currently in COVER POOL based on ELIGIBLE ONLY (ignoring swaps)</v>
          </cell>
          <cell r="E953" t="str">
            <v>Aktuelle nominale ÜBERBESICHERUNG, nur deckungsstockfähig (ohne Berücksichtigung von Swaps)</v>
          </cell>
          <cell r="F953" t="str">
            <v>OC NOMINAL ELEGIBLE actual en la CARTERA SUBYACENTE</v>
          </cell>
          <cell r="J953"/>
          <cell r="K953"/>
        </row>
        <row r="954">
          <cell r="D954" t="str">
            <v>NOMINAL OC currently in COVER POOL based on all Assets (i.e. with INELIGIBLE INCLUDED) (ignoring swaps)</v>
          </cell>
          <cell r="E954" t="str">
            <v>-</v>
          </cell>
          <cell r="F954" t="str">
            <v>OC NOMINAL actual basado en todos los ACTIVOS en la CARTERA SUBYACENTE</v>
          </cell>
          <cell r="J954"/>
          <cell r="K954"/>
        </row>
        <row r="955">
          <cell r="D955"/>
          <cell r="E955"/>
          <cell r="F955"/>
          <cell r="J955"/>
          <cell r="K955"/>
        </row>
        <row r="956">
          <cell r="D956" t="str">
            <v>Nominal value of Covered Bonds in issue (ignoring swaps)</v>
          </cell>
          <cell r="E956" t="str">
            <v>NOMINALWERT der emittierten GEDECKTEN SCHULDVERSCHREIBUNGEN (ohne die Berücksichtigung von Swaps)</v>
          </cell>
          <cell r="F956" t="str">
            <v>Valor nominal de las Cédulas vivas</v>
          </cell>
          <cell r="J956"/>
          <cell r="K956"/>
        </row>
        <row r="957">
          <cell r="D957" t="str">
            <v>Nominal value of COVER POOL (including substitute collateral) (ignoring swaps)</v>
          </cell>
          <cell r="E957" t="str">
            <v>Nominalwert der DECKUNGSMASSE (inkl. Ersatzsicherheiten) (ohne die Berücksichtigung von Swaps)</v>
          </cell>
          <cell r="F957" t="str">
            <v>Valor nominal del ACTIVO SUBYACENTE</v>
          </cell>
          <cell r="J957"/>
          <cell r="K957"/>
        </row>
        <row r="958">
          <cell r="D958"/>
          <cell r="E958"/>
          <cell r="F958"/>
          <cell r="J958"/>
          <cell r="K958"/>
        </row>
        <row r="959">
          <cell r="D959" t="str">
            <v>NPV of COVER POOL (STRESS 5)</v>
          </cell>
          <cell r="E959" t="str">
            <v>Barwert der DECKUNGSMASSE (STRESS 5)</v>
          </cell>
          <cell r="F959" t="str">
            <v>NPV de la CARTERA SUBYACENTE STRESS 5</v>
          </cell>
          <cell r="J959"/>
          <cell r="K959"/>
        </row>
        <row r="960">
          <cell r="D960" t="str">
            <v>NPV of COVER POOL (STRESS 6)</v>
          </cell>
          <cell r="E960" t="str">
            <v>Barwert der DECKUNGSMASSE (STRESS 6)</v>
          </cell>
          <cell r="F960" t="str">
            <v>NPV de la CARTERA SUBYACENTE STRESS 6</v>
          </cell>
          <cell r="J960"/>
          <cell r="K960"/>
        </row>
        <row r="961">
          <cell r="D961" t="str">
            <v>NPV of Covered Bonds (STRESS 5)</v>
          </cell>
          <cell r="E961" t="str">
            <v>Barwert der Gedeckten Schuldverschreibungen (STRESS 5)</v>
          </cell>
          <cell r="F961" t="str">
            <v>NPV de las Cédulas STRESS 6</v>
          </cell>
          <cell r="J961"/>
          <cell r="K961"/>
        </row>
        <row r="962">
          <cell r="D962" t="str">
            <v>NPV of Covered Bonds (STRESS 6)</v>
          </cell>
          <cell r="E962" t="str">
            <v>Barwert der Gedeckten Schuldverschreibungen (STRESS 6)</v>
          </cell>
          <cell r="F962" t="str">
            <v>NPV de las Cédulas STRESS 6</v>
          </cell>
          <cell r="J962"/>
          <cell r="K962"/>
        </row>
        <row r="963">
          <cell r="D963"/>
          <cell r="E963"/>
          <cell r="F963"/>
          <cell r="J963"/>
          <cell r="K963"/>
        </row>
        <row r="964">
          <cell r="D964" t="str">
            <v>Additional fields for CB Programme Overview sheet</v>
          </cell>
          <cell r="E964"/>
          <cell r="F964"/>
          <cell r="J964"/>
          <cell r="K964"/>
        </row>
        <row r="965">
          <cell r="D965" t="str">
            <v>Exchange Rates Information</v>
          </cell>
          <cell r="E965" t="str">
            <v>Information über die verwendeten Umrechnungskurse bei Fremdwährungen</v>
          </cell>
          <cell r="F965" t="str">
            <v>Información sobre tipos de cambio</v>
          </cell>
          <cell r="J965"/>
          <cell r="K965"/>
        </row>
        <row r="966">
          <cell r="D966" t="str">
            <v>Default Currency</v>
          </cell>
          <cell r="E966" t="str">
            <v>STANDARDWÄHRUNG</v>
          </cell>
          <cell r="F966" t="str">
            <v>DIVISA ESTÁNDAR</v>
          </cell>
          <cell r="J966"/>
          <cell r="K966"/>
        </row>
        <row r="967">
          <cell r="D967" t="str">
            <v>Date</v>
          </cell>
          <cell r="E967" t="str">
            <v>Datum</v>
          </cell>
          <cell r="F967" t="str">
            <v>Fecha</v>
          </cell>
          <cell r="J967"/>
          <cell r="K967"/>
        </row>
        <row r="968">
          <cell r="D968" t="str">
            <v>Foreign Currency</v>
          </cell>
          <cell r="E968" t="str">
            <v>Fremdwährung</v>
          </cell>
          <cell r="F968" t="str">
            <v xml:space="preserve">DIVISA </v>
          </cell>
          <cell r="J968"/>
          <cell r="K968"/>
        </row>
        <row r="969">
          <cell r="D969" t="str">
            <v>Spot exchange rate to DEFAULT CURRENCY used at REPORT DATE</v>
          </cell>
          <cell r="E969" t="str">
            <v>Verwendeter Umrechnungskurs zur STANDARDWÄHRUNG am BERICHTSDATUM</v>
          </cell>
          <cell r="F969" t="str">
            <v>TIPO SPOT de la DIVISA estándar en la FECHA DE INFORME</v>
          </cell>
          <cell r="J969"/>
          <cell r="K969"/>
        </row>
        <row r="970">
          <cell r="D970"/>
          <cell r="E970"/>
          <cell r="F970"/>
          <cell r="J970"/>
          <cell r="K970"/>
        </row>
        <row r="971">
          <cell r="D971"/>
          <cell r="E971"/>
          <cell r="F971"/>
          <cell r="J971"/>
          <cell r="K971"/>
        </row>
        <row r="972">
          <cell r="D972"/>
          <cell r="E972"/>
          <cell r="F972"/>
          <cell r="J972"/>
          <cell r="K972"/>
        </row>
        <row r="973">
          <cell r="D973" t="str">
            <v>Additional fields for Hedging (4) sheet</v>
          </cell>
          <cell r="E973"/>
          <cell r="F973"/>
          <cell r="J973"/>
          <cell r="K973"/>
        </row>
        <row r="974">
          <cell r="D974" t="str">
            <v>Hedging (4)</v>
          </cell>
          <cell r="E974" t="str">
            <v>Hedging (4)</v>
          </cell>
          <cell r="F974" t="str">
            <v>Hedging (4)</v>
          </cell>
          <cell r="G974"/>
          <cell r="H974"/>
          <cell r="I974"/>
          <cell r="J974"/>
          <cell r="K974"/>
        </row>
        <row r="975">
          <cell r="D975" t="str">
            <v>4. Interest matching - Hedging (4) page</v>
          </cell>
          <cell r="E975" t="str">
            <v>4. Zinsbindung - Tabellenblatt Hedging(4)</v>
          </cell>
          <cell r="F975" t="str">
            <v>4. Matching de intereses -Página Heging (4)</v>
          </cell>
          <cell r="G975"/>
          <cell r="H975"/>
          <cell r="I975"/>
          <cell r="J975"/>
          <cell r="K975"/>
        </row>
        <row r="976">
          <cell r="D976" t="str">
            <v>- This sheet is intended to capture a broad measure of interest rate risk only. Ignore single currency basis swaps when completing this sheet.</v>
          </cell>
          <cell r="E976" t="str">
            <v>- Dieses Tabellenblatt dient der Erfassung von Zinsrisiken, unbeachtet Basis-Swaps. In nur einer Währung.</v>
          </cell>
          <cell r="F976" t="str">
            <v>- La siguiente hoja pretende capturar a nivela gregado el riesgo de tipo de interés. Ignorar cualquier swap de divisas aplicable al completar esta hoja (en caso de Cédulas cualquier referencia a swaps no es aplicable).</v>
          </cell>
          <cell r="G976"/>
          <cell r="H976"/>
          <cell r="I976"/>
          <cell r="J976"/>
          <cell r="K976"/>
        </row>
        <row r="977">
          <cell r="D977" t="str">
            <v>- Similarly, ignore all structured style swaps ( for example interest linked swaps, equity linked swaps, constant maturity swaps, etc.).</v>
          </cell>
          <cell r="E977" t="str">
            <v>- Vernachlässigen Sie ebenso strukturierte (z.B. "interest linked-", "equity-linked" oder "constant maturity-") Swaps.</v>
          </cell>
          <cell r="F977" t="str">
            <v>- De igual modo ignorar cualquier swap estructurado (p.ej. Interest linked swaps, equity linked swaps, cms, etc.)</v>
          </cell>
          <cell r="G977"/>
          <cell r="H977"/>
          <cell r="I977"/>
          <cell r="J977"/>
          <cell r="K977"/>
        </row>
        <row r="978">
          <cell r="D978" t="str">
            <v>- Both table below should be completed.</v>
          </cell>
          <cell r="E978" t="str">
            <v>- Bitte beide Tabellen ausfüllen.</v>
          </cell>
          <cell r="F978" t="str">
            <v>- Las siguientes dos tablas deben rellenarse (en el caso de Cédulas sólo primera tabla)</v>
          </cell>
          <cell r="J978"/>
          <cell r="K978"/>
        </row>
        <row r="979">
          <cell r="D979" t="str">
            <v>- All data should be given in DEFAULT CURRENCY.</v>
          </cell>
          <cell r="E979" t="str">
            <v>- Alle Angaben in STANDARDWÄHRUNG.</v>
          </cell>
          <cell r="F979" t="str">
            <v>- Todos los datos deben ser referenciados a la DIVISA ESTÁNDAR</v>
          </cell>
          <cell r="J979"/>
          <cell r="K979"/>
        </row>
        <row r="980">
          <cell r="D980" t="str">
            <v>- Where there is any such "structured style swap" communicate these to Moody's. These swaps need to be considered on their individual merits.</v>
          </cell>
          <cell r="E980" t="str">
            <v>- Sind strukturierte Swaps vorhanden, sind die entsprenchenden Informationen Moody's zu übermitteln. Diese Swaps werden auf Einzelfallbasis analysiert.</v>
          </cell>
          <cell r="F980" t="str">
            <v>- En caso de swaps estructurados comunicárselo a Moody's (ignorar esto para Cédulas).</v>
          </cell>
          <cell r="J980"/>
          <cell r="K980"/>
        </row>
        <row r="981">
          <cell r="D981" t="str">
            <v>1) Complete table in DEFAULT CURRENCY. Amounts should be translated into the DEFAULT CURRENCY using the exchange rate at the REPORT DATE (igoring the impact of currency swaps)</v>
          </cell>
          <cell r="E981" t="str">
            <v>1) Bitte die Tabelle in STANDARDWÄHRUNG ausfüllen. Umrechnung zum Wechselkurs zum BERICHTSDATUM, unbeachtet Zinsswaps.</v>
          </cell>
          <cell r="F981" t="str">
            <v>- Completar la tabla en la DIVISA ESTÁNDAR. Las cantidades se deben calcular aplicanto el tipo de cambio de la dIVISA ESTÁNDAR a FECHA DE INFORME (ignorando cualquier referencia a swap de divisas).</v>
          </cell>
          <cell r="J981"/>
          <cell r="K981"/>
        </row>
        <row r="982">
          <cell r="D982"/>
          <cell r="E982"/>
          <cell r="F982"/>
          <cell r="J982"/>
          <cell r="K982"/>
        </row>
        <row r="983">
          <cell r="D983" t="str">
            <v>Pre-swaps</v>
          </cell>
          <cell r="E983" t="str">
            <v>Pre-Swaps</v>
          </cell>
          <cell r="F983" t="str">
            <v>Pre-swaps</v>
          </cell>
          <cell r="J983"/>
          <cell r="K983"/>
        </row>
        <row r="984">
          <cell r="D984" t="str">
            <v>Swaps</v>
          </cell>
          <cell r="E984" t="str">
            <v>Swaps</v>
          </cell>
          <cell r="F984" t="str">
            <v>Swaps</v>
          </cell>
          <cell r="J984"/>
          <cell r="K984"/>
        </row>
        <row r="985">
          <cell r="D985" t="str">
            <v>Amount of Cover Pool</v>
          </cell>
          <cell r="E985" t="str">
            <v>Betrag Deckungsmasse</v>
          </cell>
          <cell r="F985" t="str">
            <v>Saldo del la CARTERA SUBYACENTE</v>
          </cell>
          <cell r="J985"/>
          <cell r="K985"/>
        </row>
        <row r="986">
          <cell r="D986" t="str">
            <v>Amount of Outstanding Covered Bonds</v>
          </cell>
          <cell r="E986" t="str">
            <v>Ausstehende gedeckte Schuldverschreibungen</v>
          </cell>
          <cell r="F986" t="str">
            <v>Saldo de las Céduals vivas</v>
          </cell>
          <cell r="J986"/>
          <cell r="K986"/>
        </row>
        <row r="987">
          <cell r="D987" t="str">
            <v>Nominal amount received by the Issuer</v>
          </cell>
          <cell r="E987" t="str">
            <v>Nominalbetrag (Emittent ist Zahlungsempfaenger)</v>
          </cell>
          <cell r="F987" t="str">
            <v>Cantidad nominal recibida por el Emisor</v>
          </cell>
          <cell r="J987"/>
          <cell r="K987"/>
        </row>
        <row r="988">
          <cell r="D988" t="str">
            <v>Nominal amount paid by the Issuer</v>
          </cell>
          <cell r="E988" t="str">
            <v>Nominalbetrag (Swapkontrahent is Zahlungsempfaenger)</v>
          </cell>
          <cell r="F988" t="str">
            <v>Cantidad nominal pagada por el Emisor</v>
          </cell>
          <cell r="J988"/>
          <cell r="K988"/>
        </row>
        <row r="989">
          <cell r="D989"/>
          <cell r="E989"/>
          <cell r="F989"/>
          <cell r="J989"/>
          <cell r="K989"/>
        </row>
        <row r="990">
          <cell r="D990" t="str">
            <v>Floating rate or Fixed rate with reset ≤1 years</v>
          </cell>
          <cell r="E990" t="str">
            <v>Variable oder fixe Verzinsung, Zinsanpassungstermin &lt; 1 Jahr</v>
          </cell>
          <cell r="F990" t="str">
            <v>Tipo variable o tipo fijo a ≤1 año</v>
          </cell>
          <cell r="J990"/>
          <cell r="K990"/>
        </row>
        <row r="991">
          <cell r="D991" t="str">
            <v>Fixed rate with reset  &gt;1 but ≤ 3 years</v>
          </cell>
          <cell r="E991" t="str">
            <v>Fixe Verzinsung mit Zinsanpassungstermin nach  &gt;1 bis ≤ 3 Jahren</v>
          </cell>
          <cell r="F991" t="str">
            <v>Tipo fijo a &gt;1 pero ≤ 3 años</v>
          </cell>
          <cell r="J991"/>
          <cell r="K991"/>
        </row>
        <row r="992">
          <cell r="D992" t="str">
            <v>Fixed rate with reset  &gt;3 but ≤ 5 years</v>
          </cell>
          <cell r="E992" t="str">
            <v>Fixe Verzinsung mit Zinsanpassungstermin nach  &gt;3 bis ≤ 5 Jahren</v>
          </cell>
          <cell r="F992" t="str">
            <v>Tipo fijo a &gt;3 pero ≤ 5 años</v>
          </cell>
          <cell r="J992"/>
          <cell r="K992"/>
        </row>
        <row r="993">
          <cell r="D993" t="str">
            <v>Fixed rate with reset  &gt;5 but ≤ 7 years</v>
          </cell>
          <cell r="E993" t="str">
            <v>Fixe Verzinsung mit Zinsanpassungstermin nach  &gt;5 bis ≤ 7 Jahren</v>
          </cell>
          <cell r="F993" t="str">
            <v>Tipo fijo a &gt;5 pero ≤ 7 años</v>
          </cell>
          <cell r="J993"/>
          <cell r="K993"/>
        </row>
        <row r="994">
          <cell r="D994" t="str">
            <v>Fixed rate with reset  &gt;7 but ≤ 10 years</v>
          </cell>
          <cell r="E994" t="str">
            <v>Fixe Verzinsung mit Zinsanpassungstermin nach  &gt;7 bis ≤ 10 Jahren</v>
          </cell>
          <cell r="F994" t="str">
            <v>Tipo fijo a &gt;7 pero ≤ 10 años</v>
          </cell>
          <cell r="J994"/>
          <cell r="K994"/>
        </row>
        <row r="995">
          <cell r="D995" t="str">
            <v>Fixed rate with reset  &gt;10 but ≤ 15 years</v>
          </cell>
          <cell r="E995" t="str">
            <v>Fixe Verzinsung mit Zinsanpassungstermin nach  &gt;10 bis ≤ 15 Jahren</v>
          </cell>
          <cell r="F995" t="str">
            <v>Tipo fijo a &gt;10 pero ≤  15 años</v>
          </cell>
          <cell r="J995"/>
          <cell r="K995"/>
        </row>
        <row r="996">
          <cell r="D996" t="str">
            <v>Fixed rate with reset  &gt;15 but ≤ 25 years</v>
          </cell>
          <cell r="E996" t="str">
            <v>Fixe Verzinsung mit Zinsanpassungstermin nach  &gt;15 bis ≤ 25 Jahren</v>
          </cell>
          <cell r="F996" t="str">
            <v>Tipo fijo a &gt;15 pero ≤ 25 años</v>
          </cell>
          <cell r="J996"/>
          <cell r="K996"/>
        </row>
        <row r="997">
          <cell r="D997" t="str">
            <v>Fixed rate with reset  &gt;25 years</v>
          </cell>
          <cell r="E997" t="str">
            <v>Fixe Verzinsung mit Zinsanpassungstermin nach &gt; 25 Jahren</v>
          </cell>
          <cell r="F997" t="str">
            <v>Tipo fijo a &gt; 25 años</v>
          </cell>
          <cell r="J997"/>
          <cell r="K997"/>
        </row>
        <row r="998">
          <cell r="D998"/>
          <cell r="E998"/>
          <cell r="F998"/>
          <cell r="J998"/>
          <cell r="K998"/>
        </row>
        <row r="999">
          <cell r="D999" t="str">
            <v>2) Complete the following table in DEFAULT CURRENCY. However, where QUALIFYING SWAPS for currency are in place, the amount should be translated into the DEFAULT CURRENCY using the swap exchange rate. Otherwise, the exchange rate used for conversion should be the exchange rate at the REPORT DATE.</v>
          </cell>
          <cell r="E999" t="str">
            <v>2) Bitte die folgende Tabelle in STANDARDWÄHRUNG ausfüllen. Falls QUALIFIZIERTE SWAPS eingesetzt werden, bitte Swap-Wechselkurs verwenden. Falls keine QUALIFIZIERTEN SWAPS eingesetzt werden, Wechselkurs zum BERICHTSDATUM verwenden.</v>
          </cell>
          <cell r="F999" t="str">
            <v>2) Completar la siguiente tabla en la DIVISA estándar (NO completar en caso de cédulas). Sin embargo, en caso de SWAPS TOTALMENTE o PARCIALMENTE APLICABLES, utilizar la divisa de los mismos usando el tipo de cambio en dichos contratos. En cualquier otro caso utilizar el tipo de cambio en FECHA DE INFORME.</v>
          </cell>
          <cell r="J999"/>
          <cell r="K999"/>
        </row>
        <row r="1000">
          <cell r="D1000" t="str">
            <v>Example</v>
          </cell>
          <cell r="E1000" t="str">
            <v>Beispiel</v>
          </cell>
          <cell r="F1000" t="str">
            <v/>
          </cell>
          <cell r="J1000"/>
          <cell r="K1000"/>
        </row>
        <row r="1001">
          <cell r="D1001" t="str">
            <v>If Issuer enters a 100,000,000 Swap paying fixed for 12 years and receiving 3 months LIBOR, enter 100,000,000 (also in second table, if Swap is QUALIFYING) in :</v>
          </cell>
          <cell r="E1001" t="str">
            <v>Unter einem 100.000.000 Swap zahlt Emittent 12 Jahre fix und erhaelt 3-Monats-LIBOR. --&gt; Eintrag 100.000.000 (bei QUALIFIZIERTEN SWAPS auch in zweiter Tabelle) in :</v>
          </cell>
          <cell r="F1001" t="str">
            <v/>
          </cell>
          <cell r="J1001"/>
          <cell r="K1001"/>
        </row>
        <row r="1002">
          <cell r="D1002" t="str">
            <v>The sum in each swap column should sum up to the aggregate nominal amount of all swaps.</v>
          </cell>
          <cell r="E1002" t="str">
            <v>Die Summe jeder Spalte für die Swaps entspricht dem Nominalbetrag aller Swaps.</v>
          </cell>
          <cell r="F1002" t="str">
            <v/>
          </cell>
          <cell r="J1002"/>
          <cell r="K1002"/>
        </row>
        <row r="1003">
          <cell r="D1003"/>
          <cell r="E1003"/>
          <cell r="F1003"/>
          <cell r="J1003"/>
          <cell r="K1003"/>
        </row>
        <row r="1004">
          <cell r="D1004"/>
          <cell r="E1004"/>
          <cell r="F1004"/>
          <cell r="J1004"/>
          <cell r="K1004"/>
        </row>
        <row r="1005">
          <cell r="D1005"/>
          <cell r="E1005"/>
          <cell r="F1005"/>
          <cell r="J1005"/>
          <cell r="K1005"/>
        </row>
        <row r="1006">
          <cell r="D1006" t="str">
            <v>NO. OF BORROWERS</v>
          </cell>
          <cell r="E1006" t="str">
            <v>ZAHL DER KREDITNEHMER</v>
          </cell>
          <cell r="F1006" t="str">
            <v>N. De DEUDORES</v>
          </cell>
          <cell r="J1006"/>
          <cell r="K1006"/>
        </row>
        <row r="1007">
          <cell r="D1007"/>
          <cell r="E1007"/>
          <cell r="F1007"/>
          <cell r="J1007"/>
          <cell r="K1007"/>
        </row>
        <row r="1008">
          <cell r="D1008" t="str">
            <v>NO. OF LOANS</v>
          </cell>
          <cell r="E1008" t="str">
            <v>ZAHL DER KREDITE</v>
          </cell>
          <cell r="F1008" t="str">
            <v>N. De PRÉSTAMOS</v>
          </cell>
          <cell r="J1008"/>
          <cell r="K1008"/>
        </row>
        <row r="1009">
          <cell r="D1009"/>
          <cell r="E1009"/>
          <cell r="F1009"/>
          <cell r="J1009"/>
          <cell r="K1009"/>
        </row>
        <row r="1010">
          <cell r="D1010" t="str">
            <v>NO. OF PROPERTIES</v>
          </cell>
          <cell r="E1010" t="str">
            <v>ZAHL DER IMMOBILIEN</v>
          </cell>
          <cell r="F1010" t="str">
            <v>N. de Propiedades</v>
          </cell>
          <cell r="J1010"/>
          <cell r="K1010"/>
        </row>
        <row r="1011">
          <cell r="D1011"/>
          <cell r="E1011"/>
          <cell r="F1011"/>
          <cell r="J1011"/>
          <cell r="K1011"/>
        </row>
        <row r="1012">
          <cell r="D1012"/>
          <cell r="E1012"/>
          <cell r="F1012"/>
          <cell r="J1012"/>
          <cell r="K1012"/>
        </row>
        <row r="1013">
          <cell r="D1013"/>
          <cell r="E1013"/>
          <cell r="F1013"/>
          <cell r="J1013"/>
          <cell r="K1013"/>
        </row>
        <row r="1014">
          <cell r="D1014"/>
          <cell r="E1014"/>
          <cell r="F1014"/>
          <cell r="J1014"/>
          <cell r="K1014"/>
        </row>
        <row r="1015">
          <cell r="D1015"/>
          <cell r="E1015"/>
          <cell r="F1015"/>
          <cell r="J1015"/>
          <cell r="K1015"/>
        </row>
        <row r="1016">
          <cell r="D1016"/>
          <cell r="E1016"/>
          <cell r="F1016"/>
          <cell r="J1016"/>
          <cell r="K1016"/>
        </row>
        <row r="1017">
          <cell r="D1017"/>
          <cell r="E1017"/>
          <cell r="F1017"/>
          <cell r="J1017"/>
          <cell r="K1017"/>
        </row>
        <row r="1018">
          <cell r="D1018"/>
          <cell r="E1018"/>
          <cell r="F1018"/>
          <cell r="J1018"/>
          <cell r="K1018"/>
        </row>
        <row r="1019">
          <cell r="D1019"/>
          <cell r="E1019"/>
          <cell r="F1019"/>
          <cell r="J1019"/>
          <cell r="K1019"/>
        </row>
        <row r="1020">
          <cell r="D1020"/>
          <cell r="E1020"/>
          <cell r="F1020"/>
          <cell r="J1020"/>
          <cell r="K1020"/>
        </row>
        <row r="1021">
          <cell r="D1021"/>
          <cell r="E1021"/>
          <cell r="F1021"/>
          <cell r="J1021"/>
          <cell r="K1021"/>
        </row>
        <row r="1022">
          <cell r="D1022"/>
          <cell r="E1022"/>
          <cell r="F1022"/>
          <cell r="J1022"/>
          <cell r="K1022"/>
        </row>
        <row r="1023">
          <cell r="D1023"/>
          <cell r="E1023"/>
          <cell r="F1023"/>
          <cell r="J1023"/>
          <cell r="K1023"/>
        </row>
        <row r="1024">
          <cell r="D1024"/>
          <cell r="E1024"/>
          <cell r="F1024"/>
          <cell r="J1024"/>
          <cell r="K1024"/>
        </row>
        <row r="1025">
          <cell r="D1025"/>
          <cell r="E1025"/>
          <cell r="F1025"/>
          <cell r="J1025"/>
          <cell r="K1025"/>
        </row>
        <row r="1026">
          <cell r="D1026"/>
          <cell r="E1026"/>
          <cell r="F1026"/>
          <cell r="J1026"/>
          <cell r="K1026"/>
        </row>
        <row r="1027">
          <cell r="D1027"/>
          <cell r="E1027"/>
          <cell r="F1027"/>
          <cell r="J1027"/>
          <cell r="K1027"/>
        </row>
        <row r="1028">
          <cell r="D1028"/>
          <cell r="E1028"/>
          <cell r="F1028"/>
          <cell r="J1028"/>
          <cell r="K1028"/>
        </row>
        <row r="1029">
          <cell r="D1029"/>
          <cell r="E1029"/>
          <cell r="F1029"/>
          <cell r="J1029"/>
          <cell r="K1029"/>
        </row>
        <row r="1030">
          <cell r="D1030"/>
          <cell r="E1030"/>
          <cell r="F1030"/>
          <cell r="J1030"/>
          <cell r="K1030"/>
        </row>
        <row r="1031">
          <cell r="D1031"/>
          <cell r="E1031"/>
          <cell r="F1031"/>
          <cell r="J1031"/>
          <cell r="K1031"/>
        </row>
        <row r="1032">
          <cell r="D1032"/>
          <cell r="E1032"/>
          <cell r="F1032"/>
          <cell r="J1032"/>
          <cell r="K1032"/>
        </row>
        <row r="1033">
          <cell r="D1033"/>
          <cell r="E1033"/>
          <cell r="F1033"/>
          <cell r="J1033"/>
          <cell r="K1033"/>
        </row>
        <row r="1034">
          <cell r="D1034"/>
          <cell r="E1034"/>
          <cell r="F1034"/>
          <cell r="J1034"/>
          <cell r="K1034"/>
        </row>
        <row r="1035">
          <cell r="D1035"/>
          <cell r="E1035"/>
          <cell r="F1035"/>
          <cell r="J1035"/>
          <cell r="K1035"/>
        </row>
        <row r="1036">
          <cell r="D1036"/>
          <cell r="E1036"/>
          <cell r="F1036"/>
          <cell r="J1036"/>
          <cell r="K1036"/>
        </row>
        <row r="1037">
          <cell r="D1037"/>
          <cell r="E1037"/>
          <cell r="F1037"/>
          <cell r="J1037"/>
          <cell r="K1037"/>
        </row>
        <row r="1038">
          <cell r="D1038"/>
          <cell r="E1038"/>
          <cell r="F1038"/>
          <cell r="J1038"/>
          <cell r="K1038"/>
        </row>
        <row r="1039">
          <cell r="D1039"/>
          <cell r="E1039"/>
          <cell r="F1039"/>
          <cell r="J1039"/>
          <cell r="K1039"/>
        </row>
        <row r="1040">
          <cell r="D1040"/>
          <cell r="E1040"/>
          <cell r="F1040"/>
          <cell r="J1040"/>
          <cell r="K1040"/>
        </row>
        <row r="1041">
          <cell r="D1041"/>
          <cell r="E1041"/>
          <cell r="F1041"/>
          <cell r="J1041"/>
          <cell r="K1041"/>
        </row>
        <row r="1042">
          <cell r="D1042"/>
          <cell r="E1042"/>
          <cell r="F1042"/>
          <cell r="J1042"/>
          <cell r="K1042"/>
        </row>
        <row r="1043">
          <cell r="D1043"/>
          <cell r="E1043"/>
          <cell r="F1043"/>
          <cell r="J1043"/>
          <cell r="K1043"/>
        </row>
        <row r="1044">
          <cell r="D1044"/>
          <cell r="E1044"/>
          <cell r="F1044"/>
          <cell r="J1044"/>
          <cell r="K1044"/>
        </row>
        <row r="1045">
          <cell r="D1045"/>
          <cell r="E1045"/>
          <cell r="F1045"/>
          <cell r="J1045"/>
          <cell r="K1045"/>
        </row>
        <row r="1046">
          <cell r="D1046"/>
          <cell r="E1046"/>
          <cell r="F1046"/>
          <cell r="J1046"/>
          <cell r="K1046"/>
        </row>
        <row r="1047">
          <cell r="D1047"/>
          <cell r="E1047"/>
          <cell r="F1047"/>
          <cell r="J1047"/>
          <cell r="K1047"/>
        </row>
        <row r="1048">
          <cell r="D1048"/>
          <cell r="E1048"/>
          <cell r="F1048"/>
          <cell r="J1048"/>
          <cell r="K1048"/>
        </row>
        <row r="1049">
          <cell r="D1049"/>
          <cell r="E1049"/>
          <cell r="F1049"/>
          <cell r="J1049"/>
          <cell r="K1049"/>
        </row>
        <row r="1050">
          <cell r="D1050"/>
          <cell r="E1050"/>
          <cell r="F1050"/>
          <cell r="J1050"/>
          <cell r="K1050"/>
        </row>
        <row r="1051">
          <cell r="D1051"/>
          <cell r="E1051"/>
          <cell r="F1051"/>
          <cell r="J1051"/>
          <cell r="K1051"/>
        </row>
        <row r="1052">
          <cell r="D1052"/>
          <cell r="E1052"/>
          <cell r="F1052"/>
          <cell r="J1052"/>
          <cell r="K1052"/>
        </row>
        <row r="1053">
          <cell r="D1053"/>
          <cell r="E1053"/>
          <cell r="F1053"/>
          <cell r="J1053"/>
          <cell r="K1053"/>
        </row>
        <row r="1054">
          <cell r="D1054"/>
          <cell r="E1054"/>
          <cell r="F1054"/>
          <cell r="J1054"/>
          <cell r="K1054"/>
        </row>
        <row r="1055">
          <cell r="D1055"/>
          <cell r="E1055"/>
          <cell r="F1055"/>
          <cell r="J1055"/>
          <cell r="K1055"/>
        </row>
        <row r="1056">
          <cell r="D1056"/>
          <cell r="E1056"/>
          <cell r="F1056"/>
          <cell r="J1056"/>
          <cell r="K1056"/>
        </row>
        <row r="1057">
          <cell r="D1057"/>
          <cell r="E1057"/>
          <cell r="F1057"/>
          <cell r="J1057"/>
          <cell r="K1057"/>
        </row>
        <row r="1058">
          <cell r="D1058"/>
          <cell r="E1058"/>
          <cell r="F1058"/>
          <cell r="J1058"/>
          <cell r="K1058"/>
        </row>
        <row r="1059">
          <cell r="D1059"/>
          <cell r="E1059"/>
          <cell r="F1059"/>
          <cell r="J1059"/>
          <cell r="K1059"/>
        </row>
        <row r="1060">
          <cell r="D1060"/>
          <cell r="E1060"/>
          <cell r="F1060"/>
          <cell r="J1060"/>
          <cell r="K1060"/>
        </row>
        <row r="1061">
          <cell r="D1061"/>
          <cell r="E1061"/>
          <cell r="F1061"/>
          <cell r="J1061"/>
          <cell r="K1061"/>
        </row>
        <row r="1062">
          <cell r="D1062"/>
          <cell r="E1062"/>
          <cell r="F1062"/>
          <cell r="J1062"/>
          <cell r="K1062"/>
        </row>
        <row r="1063">
          <cell r="D1063"/>
          <cell r="E1063"/>
          <cell r="F1063"/>
          <cell r="J1063"/>
          <cell r="K1063"/>
        </row>
        <row r="1064">
          <cell r="D1064"/>
          <cell r="E1064"/>
          <cell r="F1064"/>
          <cell r="J1064"/>
          <cell r="K1064"/>
        </row>
        <row r="1065">
          <cell r="D1065"/>
          <cell r="E1065"/>
          <cell r="F1065"/>
          <cell r="J1065"/>
          <cell r="K1065"/>
        </row>
        <row r="1066">
          <cell r="D1066"/>
          <cell r="E1066"/>
          <cell r="F1066"/>
          <cell r="J1066"/>
          <cell r="K1066"/>
        </row>
        <row r="1067">
          <cell r="D1067"/>
          <cell r="E1067"/>
          <cell r="F1067"/>
          <cell r="J1067"/>
          <cell r="K1067"/>
        </row>
        <row r="1068">
          <cell r="D1068"/>
          <cell r="E1068"/>
          <cell r="F1068"/>
          <cell r="J1068"/>
          <cell r="K1068"/>
        </row>
        <row r="1069">
          <cell r="D1069"/>
          <cell r="E1069"/>
          <cell r="F1069"/>
          <cell r="J1069"/>
          <cell r="K1069"/>
        </row>
        <row r="1070">
          <cell r="D1070"/>
          <cell r="E1070"/>
          <cell r="F1070"/>
          <cell r="J1070"/>
          <cell r="K1070"/>
        </row>
        <row r="1071">
          <cell r="D1071"/>
          <cell r="E1071"/>
          <cell r="F1071"/>
          <cell r="J1071"/>
          <cell r="K1071"/>
        </row>
        <row r="1072">
          <cell r="D1072"/>
          <cell r="E1072"/>
          <cell r="F1072"/>
          <cell r="J1072"/>
          <cell r="K1072"/>
        </row>
        <row r="1073">
          <cell r="D1073"/>
          <cell r="E1073"/>
          <cell r="F1073"/>
          <cell r="J1073"/>
          <cell r="K1073"/>
        </row>
        <row r="1074">
          <cell r="D1074"/>
          <cell r="E1074"/>
          <cell r="F1074"/>
          <cell r="J1074"/>
          <cell r="K1074"/>
        </row>
        <row r="1075">
          <cell r="D1075"/>
          <cell r="E1075"/>
          <cell r="F1075"/>
          <cell r="J1075"/>
          <cell r="K1075"/>
        </row>
        <row r="1076">
          <cell r="D1076"/>
          <cell r="E1076"/>
          <cell r="F1076"/>
          <cell r="J1076"/>
          <cell r="K1076"/>
        </row>
        <row r="1077">
          <cell r="D1077"/>
          <cell r="E1077"/>
          <cell r="F1077"/>
          <cell r="J1077"/>
          <cell r="K1077"/>
        </row>
        <row r="1078">
          <cell r="D1078"/>
          <cell r="E1078"/>
          <cell r="F1078"/>
          <cell r="J1078"/>
          <cell r="K1078"/>
        </row>
        <row r="1079">
          <cell r="D1079"/>
          <cell r="E1079"/>
          <cell r="F1079"/>
          <cell r="J1079"/>
          <cell r="K1079"/>
        </row>
        <row r="1080">
          <cell r="D1080"/>
          <cell r="E1080"/>
          <cell r="F1080"/>
          <cell r="J1080"/>
          <cell r="K1080"/>
        </row>
        <row r="1081">
          <cell r="D1081"/>
          <cell r="E1081"/>
          <cell r="F1081"/>
          <cell r="J1081"/>
          <cell r="K1081"/>
        </row>
        <row r="1082">
          <cell r="D1082"/>
          <cell r="E1082"/>
          <cell r="F1082"/>
          <cell r="J1082"/>
          <cell r="K1082"/>
        </row>
        <row r="1083">
          <cell r="D1083"/>
          <cell r="E1083"/>
          <cell r="F1083"/>
          <cell r="J1083"/>
          <cell r="K1083"/>
        </row>
        <row r="1084">
          <cell r="D1084"/>
          <cell r="E1084"/>
          <cell r="F1084"/>
          <cell r="J1084"/>
          <cell r="K1084"/>
        </row>
        <row r="1085">
          <cell r="D1085" t="str">
            <v>Total LOAN BALANCE</v>
          </cell>
          <cell r="E1085" t="str">
            <v>Gesamter KREDITSALDO</v>
          </cell>
          <cell r="F1085" t="str">
            <v>SALDO VIVO DE PRÉSTAMOS</v>
          </cell>
          <cell r="J1085"/>
          <cell r="K1085"/>
        </row>
        <row r="1086">
          <cell r="D1086"/>
          <cell r="E1086"/>
          <cell r="F1086"/>
          <cell r="J1086"/>
          <cell r="K1086"/>
        </row>
        <row r="1087">
          <cell r="D1087"/>
          <cell r="E1087"/>
          <cell r="F1087"/>
          <cell r="J1087"/>
          <cell r="K1087"/>
        </row>
        <row r="1088">
          <cell r="D1088"/>
          <cell r="E1088"/>
          <cell r="F1088"/>
          <cell r="J1088"/>
          <cell r="K1088"/>
        </row>
        <row r="1089">
          <cell r="D1089"/>
          <cell r="E1089"/>
          <cell r="F1089"/>
          <cell r="J1089"/>
          <cell r="K1089"/>
        </row>
        <row r="1090">
          <cell r="D1090"/>
          <cell r="E1090"/>
          <cell r="F1090"/>
          <cell r="J1090"/>
          <cell r="K1090"/>
        </row>
        <row r="1091">
          <cell r="D1091"/>
          <cell r="E1091"/>
          <cell r="F1091"/>
          <cell r="J1091"/>
          <cell r="K1091"/>
        </row>
        <row r="1092">
          <cell r="D1092"/>
          <cell r="E1092"/>
          <cell r="F1092"/>
          <cell r="J1092"/>
          <cell r="K1092"/>
        </row>
        <row r="1093">
          <cell r="D1093"/>
          <cell r="E1093"/>
          <cell r="F1093"/>
          <cell r="J1093"/>
          <cell r="K1093"/>
        </row>
        <row r="1094">
          <cell r="D1094"/>
          <cell r="E1094"/>
          <cell r="F1094"/>
          <cell r="J1094"/>
          <cell r="K1094"/>
        </row>
        <row r="1095">
          <cell r="D1095"/>
          <cell r="E1095"/>
          <cell r="F1095"/>
          <cell r="J1095"/>
          <cell r="K1095"/>
        </row>
        <row r="1096">
          <cell r="D1096"/>
          <cell r="E1096"/>
          <cell r="F1096"/>
          <cell r="J1096"/>
          <cell r="K1096"/>
        </row>
        <row r="1097">
          <cell r="D1097"/>
          <cell r="E1097"/>
          <cell r="F1097"/>
          <cell r="J1097"/>
          <cell r="K1097"/>
        </row>
        <row r="1098">
          <cell r="D1098"/>
          <cell r="E1098"/>
          <cell r="F1098"/>
          <cell r="J1098"/>
          <cell r="K1098"/>
        </row>
        <row r="1099">
          <cell r="D1099"/>
          <cell r="E1099"/>
          <cell r="F1099"/>
          <cell r="J1099"/>
          <cell r="K1099"/>
        </row>
        <row r="1100">
          <cell r="D1100"/>
          <cell r="E1100"/>
          <cell r="F1100"/>
          <cell r="J1100"/>
          <cell r="K1100"/>
        </row>
        <row r="1101">
          <cell r="D1101"/>
          <cell r="E1101"/>
          <cell r="F1101"/>
          <cell r="J1101"/>
          <cell r="K1101"/>
        </row>
        <row r="1102">
          <cell r="D1102"/>
          <cell r="E1102"/>
          <cell r="F1102"/>
          <cell r="J1102"/>
          <cell r="K1102"/>
        </row>
        <row r="1103">
          <cell r="D1103"/>
          <cell r="E1103"/>
          <cell r="F1103"/>
          <cell r="J1103"/>
          <cell r="K1103"/>
        </row>
        <row r="1104">
          <cell r="D1104"/>
          <cell r="E1104"/>
          <cell r="F1104"/>
          <cell r="J1104"/>
          <cell r="K1104"/>
        </row>
        <row r="1105">
          <cell r="D1105"/>
          <cell r="E1105"/>
          <cell r="F1105"/>
          <cell r="J1105"/>
          <cell r="K1105"/>
        </row>
        <row r="1106">
          <cell r="D1106"/>
          <cell r="E1106"/>
          <cell r="F1106"/>
          <cell r="J1106"/>
          <cell r="K1106"/>
        </row>
        <row r="1107">
          <cell r="D1107"/>
          <cell r="E1107"/>
          <cell r="F1107"/>
          <cell r="J1107"/>
          <cell r="K1107"/>
        </row>
        <row r="1108">
          <cell r="D1108"/>
          <cell r="E1108"/>
          <cell r="F1108"/>
          <cell r="J1108"/>
          <cell r="K1108"/>
        </row>
        <row r="1109">
          <cell r="D1109" t="str">
            <v>WHAT IS A RESIDENTIAL LOAN</v>
          </cell>
          <cell r="E1109" t="str">
            <v>WOHNIMMOBILIEN-KREDITE</v>
          </cell>
          <cell r="F1109" t="str">
            <v>¿CÓMO SE DEFINE UN PRÉSTAMO RESIDENCIAL?</v>
          </cell>
          <cell r="J1109"/>
          <cell r="K1109"/>
        </row>
        <row r="1110">
          <cell r="D1110" t="str">
            <v>- Residential LOANS refer to loans that meet all the following criteria. Should be considered residential loans for the purposes of the Moody’s template:
1) loans secured against a residential property in which the borrower resides; and 
2) loans that are full recourse to the individual taking out the loan.
3) Non-professional landlord: An exception to the above rules is made for “buy-to-let” loans. Where a borrower does not live in a property but decides to let out the property, the property may be considered under residential if the borrower is not a professional landlord (if the borrower rents out more than 3 properties he should be considered a professional landlord).</v>
          </cell>
          <cell r="E1110" t="str">
            <v>WOHNIMMOBILIEN-KREDITE beziehen sich hier auf Kredite, die folgende Kriterien erfüllen:                                                                                                                                          - vom Eigentürmer (einer natürlicher Person) selbst bewohnte (eigengenutzte) Immobilie besicherte Kredite; und                                                                                                                                                                                      - Kredite mit voller Haftung des Kreditnehmers (einer natürlicher Person)
ODER   
- Kredite, die mit einem Gebäude gesichtert sind, in denen nicht mehr als drei Wohnungen vermietet sind und nicht gewerblich genutzt werden (sog. "buy to let")</v>
          </cell>
          <cell r="F1110" t="str">
            <v>Un Préstamo hipotecario residencial se define aquel que cumpla con las siguientes condiciones:
-1) La Garantía hipotecaria es un inmueble donde resida el deudor; y 
-2) el préstamo implica un recurso a la persona física tomadora del mismo. Una excepción a estos criterios son aquellos préstamos que son arrendados, siempre que el deudor sea persona física y no tenga más de tres inmuebeles arrendados, en cuyo caso se considerará un préstamo comercial.</v>
          </cell>
          <cell r="J1110"/>
          <cell r="K1110"/>
        </row>
        <row r="1111">
          <cell r="D1111" t="str">
            <v>WHAT IS A COMMERCIAL LOAN?</v>
          </cell>
          <cell r="E1111" t="str">
            <v>GEWERBLICHE INMOBILIENKREDITE</v>
          </cell>
          <cell r="F1111" t="str">
            <v>¿CÓMO SE DEFINE UN PRÉSTAMO COMERCIAL?</v>
          </cell>
          <cell r="J1111"/>
          <cell r="K1111"/>
        </row>
        <row r="1112">
          <cell r="D1112" t="str">
            <v>- Moody's prefers COMMERCIAL LOAN data on a loan by loan basis. 
- If COMMERCIAL LOANS make up more than 35% of the COVER POOL by value, please do not use this sheet - but instead the "Commercial LbyL" page should be completed. 
- Where COMMERCIAL LOANS make up less than 35%, data may be provided on a stratified basis on this sheet; but issuers are required to report the loans in respect of the 100 largest borrowers in the sheet “Commercial LbyL”. Please exclude these loans from the stratified data.</v>
          </cell>
          <cell r="E1112" t="str">
            <v xml:space="preserve">- Moody's bevorzugt Daten auf Einzelkreditbasis (Tabellenblatt "Commercial LbyL"), da dies eine genauere Analyse von GEWERBLICHEN IMMOBILIENKREDITEN ermoeglicht.
- Bitte verwenden Sie dieses Tabellenblatt nicht, falls GEWERBLICHE IMMOBILIENKREDITE mehr als 35% der DECKUNGSMASSE ausmachen.
- Falls GEWERBLICHE IMMOBILIENKREDITE weniger als 35% der DECKUNGSMASSE ausmachen, besteht die Moeglichkeit zur Verwendung dieses Tabellenblattes; bitte jedoch alle Kredite and die groessten 100 Kreditnehmer im Tabellenblatt "Commercial LbyL" auffuehren (Diese Kredite dann nicht im "Stratified"-Blatt beruecksichtigen). </v>
          </cell>
          <cell r="F1112" t="str">
            <v>- No utilice esta hoja en caso de que los PRÉSTAMOS COMERCIALES representen más del 35% del valor del total de la CARTERA HIPOTECARIA. En ese caso utilice la hoja "Commercial LbyL".
-Si los PRÉSTAMOS COMERCIALES son menores al 35% del valor total de  la CARTERA HIPOTECARIA, puede proporcionar información estratificada en esta hoja sobre dichos préstamos. Sin embargo, registre los préstamos concedidos al los mayores 100 deudores en la hoja  "Commercial LbyL" y exclúyala de esta hoja.</v>
          </cell>
          <cell r="K1112"/>
        </row>
        <row r="1113">
          <cell r="D1113"/>
          <cell r="E1113"/>
          <cell r="F1113"/>
          <cell r="H1113"/>
          <cell r="I1113"/>
          <cell r="J1113"/>
          <cell r="K1113"/>
        </row>
        <row r="1114">
          <cell r="D1114"/>
          <cell r="E1114"/>
          <cell r="F1114"/>
          <cell r="J1114"/>
          <cell r="K1114"/>
        </row>
        <row r="1115">
          <cell r="D1115" t="str">
            <v>Countries</v>
          </cell>
          <cell r="E1115" t="str">
            <v>Länder</v>
          </cell>
          <cell r="F1115" t="str">
            <v>Países</v>
          </cell>
          <cell r="J1115"/>
          <cell r="K1115"/>
        </row>
        <row r="1116">
          <cell r="D1116" t="str">
            <v>Australia</v>
          </cell>
          <cell r="E1116" t="str">
            <v>Australien</v>
          </cell>
          <cell r="F1116" t="str">
            <v>Australia</v>
          </cell>
          <cell r="J1116"/>
          <cell r="K1116"/>
        </row>
        <row r="1117">
          <cell r="D1117" t="str">
            <v>Austria</v>
          </cell>
          <cell r="E1117" t="str">
            <v>Österreich</v>
          </cell>
          <cell r="F1117" t="str">
            <v>Austria</v>
          </cell>
          <cell r="J1117"/>
          <cell r="K1117"/>
        </row>
        <row r="1118">
          <cell r="D1118" t="str">
            <v>Belgium</v>
          </cell>
          <cell r="E1118" t="str">
            <v>Belgien</v>
          </cell>
          <cell r="F1118" t="str">
            <v>Bélgica</v>
          </cell>
          <cell r="J1118"/>
          <cell r="K1118"/>
        </row>
        <row r="1119">
          <cell r="D1119" t="str">
            <v>Canada</v>
          </cell>
          <cell r="E1119" t="str">
            <v>Kanada</v>
          </cell>
          <cell r="F1119" t="str">
            <v>Canadá</v>
          </cell>
          <cell r="J1119"/>
          <cell r="K1119"/>
        </row>
        <row r="1120">
          <cell r="D1120" t="str">
            <v>Denmark</v>
          </cell>
          <cell r="E1120" t="str">
            <v>Dänemark</v>
          </cell>
          <cell r="F1120" t="str">
            <v>Dinamarca</v>
          </cell>
          <cell r="J1120"/>
          <cell r="K1120"/>
        </row>
        <row r="1121">
          <cell r="D1121" t="str">
            <v>France</v>
          </cell>
          <cell r="E1121" t="str">
            <v>Frankreich</v>
          </cell>
          <cell r="F1121" t="str">
            <v>Francia</v>
          </cell>
          <cell r="J1121"/>
          <cell r="K1121"/>
        </row>
        <row r="1122">
          <cell r="D1122" t="str">
            <v>Germany</v>
          </cell>
          <cell r="E1122" t="str">
            <v>Deutschland</v>
          </cell>
          <cell r="F1122" t="str">
            <v>Alemania</v>
          </cell>
          <cell r="J1122"/>
          <cell r="K1122"/>
        </row>
        <row r="1123">
          <cell r="D1123" t="str">
            <v>Greece</v>
          </cell>
          <cell r="E1123" t="str">
            <v>Griechenland</v>
          </cell>
          <cell r="F1123" t="str">
            <v>Grecia</v>
          </cell>
          <cell r="J1123"/>
          <cell r="K1123"/>
        </row>
        <row r="1124">
          <cell r="D1124" t="str">
            <v>Hungary</v>
          </cell>
          <cell r="E1124" t="str">
            <v>Ungarn</v>
          </cell>
          <cell r="F1124" t="str">
            <v>Hungría</v>
          </cell>
          <cell r="J1124"/>
          <cell r="K1124"/>
        </row>
        <row r="1125">
          <cell r="D1125" t="str">
            <v>Ireland</v>
          </cell>
          <cell r="E1125" t="str">
            <v>Irland</v>
          </cell>
          <cell r="F1125" t="str">
            <v>Irlanda</v>
          </cell>
          <cell r="J1125"/>
          <cell r="K1125"/>
        </row>
        <row r="1126">
          <cell r="D1126" t="str">
            <v>Italy</v>
          </cell>
          <cell r="E1126" t="str">
            <v>Italien</v>
          </cell>
          <cell r="F1126" t="str">
            <v>Italia</v>
          </cell>
          <cell r="J1126"/>
          <cell r="K1126"/>
        </row>
        <row r="1127">
          <cell r="D1127" t="str">
            <v>Japan</v>
          </cell>
          <cell r="E1127" t="str">
            <v>Japan</v>
          </cell>
          <cell r="F1127" t="str">
            <v>Japón</v>
          </cell>
          <cell r="J1127"/>
          <cell r="K1127"/>
        </row>
        <row r="1128">
          <cell r="D1128" t="str">
            <v>Netherlands</v>
          </cell>
          <cell r="E1128" t="str">
            <v>Niederlande</v>
          </cell>
          <cell r="F1128" t="str">
            <v>Países Bajos</v>
          </cell>
          <cell r="J1128"/>
          <cell r="K1128"/>
        </row>
        <row r="1129">
          <cell r="D1129" t="str">
            <v>Norway</v>
          </cell>
          <cell r="E1129" t="str">
            <v>Norwegen</v>
          </cell>
          <cell r="F1129" t="str">
            <v>Noruega</v>
          </cell>
          <cell r="J1129"/>
          <cell r="K1129"/>
        </row>
        <row r="1130">
          <cell r="D1130" t="str">
            <v>Poland</v>
          </cell>
          <cell r="E1130" t="str">
            <v>Polen</v>
          </cell>
          <cell r="F1130" t="str">
            <v>Polonia</v>
          </cell>
          <cell r="J1130"/>
          <cell r="K1130"/>
        </row>
        <row r="1131">
          <cell r="D1131" t="str">
            <v>Portugal</v>
          </cell>
          <cell r="E1131" t="str">
            <v>Portugal</v>
          </cell>
          <cell r="F1131" t="str">
            <v>Portugal</v>
          </cell>
          <cell r="J1131"/>
          <cell r="K1131"/>
        </row>
        <row r="1132">
          <cell r="D1132" t="str">
            <v>Finland</v>
          </cell>
          <cell r="E1132" t="str">
            <v>Finland</v>
          </cell>
          <cell r="F1132" t="str">
            <v>Finland</v>
          </cell>
          <cell r="J1132"/>
          <cell r="K1132"/>
        </row>
        <row r="1133">
          <cell r="D1133" t="str">
            <v>Spain</v>
          </cell>
          <cell r="E1133" t="str">
            <v>Spanien</v>
          </cell>
          <cell r="F1133" t="str">
            <v>España</v>
          </cell>
          <cell r="J1133"/>
          <cell r="K1133"/>
        </row>
        <row r="1134">
          <cell r="D1134" t="str">
            <v>Sweden</v>
          </cell>
          <cell r="E1134" t="str">
            <v>Schweden</v>
          </cell>
          <cell r="F1134" t="str">
            <v>Suecia</v>
          </cell>
          <cell r="J1134"/>
          <cell r="K1134"/>
        </row>
        <row r="1135">
          <cell r="D1135" t="str">
            <v>Switzerland</v>
          </cell>
          <cell r="E1135" t="str">
            <v>Schweiz</v>
          </cell>
          <cell r="F1135" t="str">
            <v>Suiza</v>
          </cell>
          <cell r="J1135"/>
          <cell r="K1135"/>
        </row>
        <row r="1136">
          <cell r="D1136" t="str">
            <v>UK</v>
          </cell>
          <cell r="E1136" t="str">
            <v>Großbritannien</v>
          </cell>
          <cell r="F1136" t="str">
            <v>Reino Unido</v>
          </cell>
          <cell r="J1136"/>
          <cell r="K1136"/>
        </row>
        <row r="1137">
          <cell r="D1137" t="str">
            <v>Iceland</v>
          </cell>
          <cell r="E1137" t="str">
            <v>Iceland</v>
          </cell>
          <cell r="F1137" t="str">
            <v>Iceland</v>
          </cell>
          <cell r="J1137"/>
          <cell r="K1137"/>
        </row>
        <row r="1138">
          <cell r="D1138" t="str">
            <v>Other</v>
          </cell>
          <cell r="E1138" t="str">
            <v>Weitere</v>
          </cell>
          <cell r="F1138" t="str">
            <v xml:space="preserve">Otros  </v>
          </cell>
          <cell r="J1138"/>
          <cell r="K1138"/>
        </row>
        <row r="1139">
          <cell r="D1139"/>
          <cell r="F1139"/>
          <cell r="J1139"/>
          <cell r="K1139"/>
        </row>
        <row r="1140">
          <cell r="D1140" t="str">
            <v>Commercial Classification</v>
          </cell>
          <cell r="E1140" t="str">
            <v>Einteilung gewerblich genutzter Immobilien</v>
          </cell>
          <cell r="F1140" t="str">
            <v>Clasificación Comercial</v>
          </cell>
          <cell r="J1140"/>
          <cell r="K1140"/>
        </row>
        <row r="1141">
          <cell r="D1141" t="str">
            <v xml:space="preserve"> Offices (total)</v>
          </cell>
          <cell r="E1141" t="str">
            <v>Bürogebäude (insgesamt)</v>
          </cell>
          <cell r="F1141" t="str">
            <v>Oficinas (Total)</v>
          </cell>
          <cell r="J1141"/>
          <cell r="K1141"/>
        </row>
        <row r="1142">
          <cell r="D1142" t="str">
            <v>Offices in CBD</v>
          </cell>
          <cell r="E1142" t="str">
            <v>Bürogebäude in zentralem Geschäftsviertel</v>
          </cell>
          <cell r="F1142" t="str">
            <v>Oficinas en un distrito céntrico en ciudad</v>
          </cell>
          <cell r="J1142"/>
          <cell r="K1142"/>
        </row>
        <row r="1143">
          <cell r="D1143" t="str">
            <v xml:space="preserve">   Offices in secondary areas</v>
          </cell>
          <cell r="E1143" t="str">
            <v>Bürogebäude in Randlage</v>
          </cell>
          <cell r="F1143" t="str">
            <v>Oficinas en zonas suburbanas</v>
          </cell>
          <cell r="J1143"/>
          <cell r="K1143"/>
        </row>
        <row r="1144">
          <cell r="D1144" t="str">
            <v xml:space="preserve"> Retail (total)</v>
          </cell>
          <cell r="E1144" t="str">
            <v>Einzelhandelsflächen</v>
          </cell>
          <cell r="F1144" t="str">
            <v>Locales comerciales (total)</v>
          </cell>
          <cell r="J1144"/>
          <cell r="K1144"/>
        </row>
        <row r="1145">
          <cell r="D1145" t="str">
            <v>Retail anchored</v>
          </cell>
          <cell r="E1145" t="str">
            <v>Einzelhandelsflächen in Einkaufszentren</v>
          </cell>
          <cell r="F1145" t="str">
            <v>Grande Superficie comercial</v>
          </cell>
          <cell r="J1145"/>
          <cell r="K1145"/>
        </row>
        <row r="1146">
          <cell r="D1146" t="str">
            <v>Retail unanchored</v>
          </cell>
          <cell r="E1146" t="str">
            <v>Einzelhandelsflächen außerhalb von Einkaufszentren</v>
          </cell>
          <cell r="F1146" t="str">
            <v>Comercio minorista</v>
          </cell>
          <cell r="J1146"/>
          <cell r="K1146"/>
        </row>
        <row r="1147">
          <cell r="D1147" t="str">
            <v xml:space="preserve"> Industrial (total)</v>
          </cell>
          <cell r="E1147" t="str">
            <v>Industriegebäude</v>
          </cell>
          <cell r="F1147" t="str">
            <v>Industrial (total)</v>
          </cell>
          <cell r="J1147"/>
          <cell r="K1147"/>
        </row>
        <row r="1148">
          <cell r="D1148" t="str">
            <v>Logistical facilities, warehouses</v>
          </cell>
          <cell r="E1148" t="str">
            <v>Logistische Gebäude, Lagerflächen</v>
          </cell>
          <cell r="F1148" t="str">
            <v>Uso logístico, almacenes</v>
          </cell>
          <cell r="J1148"/>
          <cell r="K1148"/>
        </row>
        <row r="1149">
          <cell r="D1149" t="str">
            <v>Other (plant, factories)</v>
          </cell>
          <cell r="E1149" t="str">
            <v>Sonstiges (Anlagen, Fabriken)</v>
          </cell>
          <cell r="F1149" t="str">
            <v>Otros (plantas industriales, etc.)</v>
          </cell>
          <cell r="J1149"/>
          <cell r="K1149"/>
        </row>
        <row r="1150">
          <cell r="D1150" t="str">
            <v xml:space="preserve"> Hotel</v>
          </cell>
          <cell r="E1150" t="str">
            <v>Hotels</v>
          </cell>
          <cell r="F1150" t="str">
            <v>Hotel</v>
          </cell>
          <cell r="J1150"/>
          <cell r="K1150"/>
        </row>
        <row r="1151">
          <cell r="D1151" t="str">
            <v xml:space="preserve"> Multifamily</v>
          </cell>
          <cell r="E1151" t="str">
            <v>Mehrfamilienhäuser</v>
          </cell>
          <cell r="F1151" t="str">
            <v>PROMOTORES INMOBILIARIOS</v>
          </cell>
          <cell r="J1151"/>
          <cell r="K1151"/>
        </row>
        <row r="1152">
          <cell r="D1152" t="str">
            <v xml:space="preserve">    Landlord</v>
          </cell>
          <cell r="E1152" t="str">
            <v>Vermieter</v>
          </cell>
          <cell r="F1152" t="str">
            <v>Promotores con menos de tres proyectos</v>
          </cell>
          <cell r="J1152"/>
          <cell r="K1152"/>
        </row>
        <row r="1153">
          <cell r="D1153" t="str">
            <v xml:space="preserve">   Tenant Co-operative Property</v>
          </cell>
          <cell r="E1153" t="str">
            <v>Immobilie im Miteigentum der Mieter</v>
          </cell>
          <cell r="F1153" t="str">
            <v>Promotores con más de tres proyectos</v>
          </cell>
          <cell r="J1153"/>
          <cell r="K1153"/>
        </row>
        <row r="1154">
          <cell r="D1154" t="str">
            <v>MIXED USE</v>
          </cell>
          <cell r="E1154" t="str">
            <v>GEMISCHTE NUTZUNG</v>
          </cell>
          <cell r="F1154" t="str">
            <v>USO MIXTO</v>
          </cell>
          <cell r="J1154"/>
          <cell r="K1154"/>
        </row>
        <row r="1155">
          <cell r="D1155" t="str">
            <v xml:space="preserve"> LAND (Total)</v>
          </cell>
          <cell r="E1155" t="str">
            <v>GRUNDSTÜCKE (gesamt)</v>
          </cell>
          <cell r="F1155" t="str">
            <v>TERRENO</v>
          </cell>
          <cell r="J1155"/>
          <cell r="K1155"/>
        </row>
        <row r="1156">
          <cell r="D1156" t="str">
            <v xml:space="preserve">   Pre-let</v>
          </cell>
          <cell r="E1156" t="str">
            <v>Vorvermietung</v>
          </cell>
          <cell r="F1156" t="str">
            <v>Otro</v>
          </cell>
          <cell r="J1156"/>
          <cell r="K1156"/>
        </row>
        <row r="1157">
          <cell r="D1157" t="str">
            <v xml:space="preserve">   No-pre-let</v>
          </cell>
          <cell r="E1157" t="str">
            <v>Keine Vorvermietung</v>
          </cell>
          <cell r="F1157"/>
          <cell r="J1157"/>
          <cell r="K1157"/>
        </row>
        <row r="1158">
          <cell r="D1158" t="str">
            <v xml:space="preserve"> Real Estate Developers</v>
          </cell>
          <cell r="E1158" t="str">
            <v>Bauunternehmer</v>
          </cell>
          <cell r="F1158"/>
          <cell r="J1158"/>
          <cell r="K1158"/>
        </row>
        <row r="1159">
          <cell r="D1159" t="str">
            <v xml:space="preserve"> Other</v>
          </cell>
          <cell r="E1159" t="str">
            <v>Sonstige</v>
          </cell>
          <cell r="F1159"/>
          <cell r="J1159"/>
          <cell r="K1159"/>
        </row>
        <row r="1160">
          <cell r="D1160"/>
          <cell r="F1160"/>
          <cell r="K1160"/>
        </row>
        <row r="1161">
          <cell r="D1161" t="str">
            <v>Type of Commercial Collateral</v>
          </cell>
          <cell r="E1161" t="str">
            <v>Typ von als Sicherheit dienenden, gewerblich genutzten Immobilien</v>
          </cell>
          <cell r="F1161" t="str">
            <v>Tipo de inmueble comercial</v>
          </cell>
          <cell r="K1161"/>
        </row>
        <row r="1162">
          <cell r="D1162" t="str">
            <v>Offices in central business district</v>
          </cell>
          <cell r="E1162" t="str">
            <v>Bürogebäude in zentralem Geschäftsviertel</v>
          </cell>
          <cell r="F1162" t="str">
            <v>Oficinas en un distrito céntrico en ciudad</v>
          </cell>
          <cell r="K1162"/>
        </row>
        <row r="1163">
          <cell r="D1163" t="str">
            <v>Offices in other areas</v>
          </cell>
          <cell r="E1163" t="str">
            <v>Bürogebäude in Randlage</v>
          </cell>
          <cell r="F1163" t="str">
            <v>Oficinas en zonas suburbanas</v>
          </cell>
          <cell r="K1163"/>
        </row>
        <row r="1164">
          <cell r="D1164" t="str">
            <v>Retail anchored</v>
          </cell>
          <cell r="E1164" t="str">
            <v>Einzelhandelsflächen in Einkaufszentren</v>
          </cell>
          <cell r="F1164" t="str">
            <v>Grande Superficie comercial</v>
          </cell>
          <cell r="K1164"/>
        </row>
        <row r="1165">
          <cell r="D1165" t="str">
            <v>Retail unanchored</v>
          </cell>
          <cell r="E1165" t="str">
            <v>Einzelhandelsflächen außerhalb von Einkaufszentren</v>
          </cell>
          <cell r="F1165" t="str">
            <v>Comercio minorista</v>
          </cell>
          <cell r="K1165"/>
        </row>
        <row r="1166">
          <cell r="D1166" t="str">
            <v>Industrial (logistical facilities, warehouses)</v>
          </cell>
          <cell r="E1166" t="str">
            <v>Industriegebäude (logistische Gebäude, Lagerflächen)</v>
          </cell>
          <cell r="F1166" t="str">
            <v>Uso logístico, almacenes</v>
          </cell>
          <cell r="K1166"/>
        </row>
        <row r="1167">
          <cell r="D1167" t="str">
            <v>Industrial (plant, factories)</v>
          </cell>
          <cell r="E1167" t="str">
            <v>Industriegebäude (Anlagen, Fabriken)</v>
          </cell>
          <cell r="F1167" t="str">
            <v>Otros (plantas industriales, etc.)</v>
          </cell>
          <cell r="J1167"/>
          <cell r="K1167"/>
        </row>
        <row r="1168">
          <cell r="D1168" t="str">
            <v>Hotel</v>
          </cell>
          <cell r="E1168" t="str">
            <v>Hotels</v>
          </cell>
          <cell r="F1168" t="str">
            <v>Hotel</v>
          </cell>
          <cell r="J1168"/>
          <cell r="K1168"/>
        </row>
        <row r="1169">
          <cell r="D1169" t="str">
            <v>Multifamily Landlord</v>
          </cell>
          <cell r="E1169" t="str">
            <v>Mehrfamilienhäuser, vermietet</v>
          </cell>
          <cell r="F1169" t="str">
            <v>Promotores con menos de tres proyectos</v>
          </cell>
          <cell r="J1169"/>
          <cell r="K1169"/>
        </row>
        <row r="1170">
          <cell r="D1170" t="str">
            <v>Multifamily Tenant Co-operative Property</v>
          </cell>
          <cell r="E1170" t="str">
            <v>Mehrfamilienhäuser, Miteigentum der Mieter</v>
          </cell>
          <cell r="F1170" t="str">
            <v>Promotores con más de tres proyectos</v>
          </cell>
          <cell r="J1170"/>
          <cell r="K1170"/>
        </row>
        <row r="1171">
          <cell r="D1171" t="str">
            <v>MIXED USE</v>
          </cell>
          <cell r="E1171" t="str">
            <v>GEMISCHTE NUTZUNG</v>
          </cell>
          <cell r="F1171" t="str">
            <v>USO MIXTO</v>
          </cell>
          <cell r="J1171"/>
          <cell r="K1171"/>
        </row>
        <row r="1172">
          <cell r="D1172" t="str">
            <v>LAND (or under construction/completed but never tenanted)</v>
          </cell>
          <cell r="E1172" t="str">
            <v>GRUNDSTÜCKE (oder in  Bau befindliche / fertiggestellte, aber bisher noch vermietete Gebaeude)</v>
          </cell>
          <cell r="F1172" t="str">
            <v>TERRENO</v>
          </cell>
          <cell r="J1172"/>
          <cell r="K1172"/>
        </row>
        <row r="1173">
          <cell r="D1173" t="str">
            <v>Not Commercial</v>
          </cell>
          <cell r="E1173" t="str">
            <v>Keine gewerbliche Nutzung</v>
          </cell>
          <cell r="F1173" t="str">
            <v>Otro</v>
          </cell>
          <cell r="J1173"/>
          <cell r="K1173"/>
        </row>
        <row r="1174">
          <cell r="D1174"/>
          <cell r="E1174"/>
          <cell r="F1174"/>
          <cell r="J1174"/>
          <cell r="K1174"/>
        </row>
        <row r="1175">
          <cell r="D1175" t="str">
            <v>Version of the Template</v>
          </cell>
          <cell r="E1175" t="str">
            <v>Version der Vorlage</v>
          </cell>
          <cell r="F1175" t="str">
            <v>Idioma del Fichero</v>
          </cell>
          <cell r="J1175"/>
          <cell r="K1175"/>
        </row>
        <row r="1176">
          <cell r="D1176" t="str">
            <v>English</v>
          </cell>
          <cell r="E1176" t="str">
            <v>Englisch</v>
          </cell>
          <cell r="F1176" t="str">
            <v>Inglés</v>
          </cell>
          <cell r="J1176"/>
          <cell r="K1176"/>
        </row>
        <row r="1177">
          <cell r="D1177" t="str">
            <v>German</v>
          </cell>
          <cell r="E1177" t="str">
            <v>Deutsch</v>
          </cell>
          <cell r="F1177" t="str">
            <v>Alemán</v>
          </cell>
          <cell r="J1177"/>
          <cell r="K1177"/>
        </row>
        <row r="1178">
          <cell r="D1178" t="str">
            <v>Spanish</v>
          </cell>
          <cell r="E1178" t="str">
            <v>Spanisch</v>
          </cell>
          <cell r="F1178" t="str">
            <v>Espanol</v>
          </cell>
          <cell r="J1178"/>
          <cell r="K1178"/>
        </row>
        <row r="1179">
          <cell r="D1179"/>
          <cell r="E1179"/>
          <cell r="F1179" t="str">
            <v>Español</v>
          </cell>
          <cell r="J1179"/>
          <cell r="K1179"/>
        </row>
        <row r="1180">
          <cell r="D1180" t="str">
            <v>Asset Types</v>
          </cell>
          <cell r="E1180" t="str">
            <v>Typen von Vermögenswerten</v>
          </cell>
          <cell r="F1180" t="str">
            <v>Tipo de Activos</v>
          </cell>
          <cell r="J1180"/>
          <cell r="K1180"/>
        </row>
        <row r="1181">
          <cell r="D1181" t="str">
            <v>Residential mortgages</v>
          </cell>
          <cell r="E1181" t="str">
            <v>Hypotheken für Wohnimmobilien</v>
          </cell>
          <cell r="F1181" t="str">
            <v>Hipotecarios Residenciales</v>
          </cell>
          <cell r="J1181"/>
          <cell r="K1181"/>
        </row>
        <row r="1182">
          <cell r="D1182" t="str">
            <v>Commercial mortgages</v>
          </cell>
          <cell r="E1182" t="str">
            <v>Hypotheken für gewerblich genutzte Immobilien</v>
          </cell>
          <cell r="F1182" t="str">
            <v>Hipotecarios Comerciales</v>
          </cell>
          <cell r="J1182"/>
          <cell r="K1182"/>
        </row>
        <row r="1183">
          <cell r="D1183" t="str">
            <v>Public Sector</v>
          </cell>
          <cell r="E1183" t="str">
            <v>Kredite an den öffentlichen Sektor</v>
          </cell>
          <cell r="F1183" t="str">
            <v>Sector Público</v>
          </cell>
          <cell r="J1183"/>
          <cell r="K1183"/>
        </row>
        <row r="1184">
          <cell r="D1184" t="str">
            <v>Substitute collateral</v>
          </cell>
          <cell r="E1184" t="str">
            <v>Ersatzsicherheiten</v>
          </cell>
          <cell r="F1184" t="str">
            <v>Colateral adicional</v>
          </cell>
          <cell r="J1184"/>
          <cell r="K1184"/>
        </row>
        <row r="1185">
          <cell r="D1185"/>
          <cell r="F1185"/>
          <cell r="J1185"/>
          <cell r="K1185"/>
        </row>
        <row r="1186">
          <cell r="D1186" t="str">
            <v>Yes</v>
          </cell>
          <cell r="E1186" t="str">
            <v>Ja</v>
          </cell>
          <cell r="F1186" t="str">
            <v>Sí</v>
          </cell>
          <cell r="J1186"/>
          <cell r="K1186"/>
        </row>
        <row r="1187">
          <cell r="D1187" t="str">
            <v>No</v>
          </cell>
          <cell r="E1187" t="str">
            <v>Nein</v>
          </cell>
          <cell r="F1187" t="str">
            <v>No</v>
          </cell>
          <cell r="J1187"/>
          <cell r="K1187"/>
        </row>
        <row r="1188">
          <cell r="D1188" t="str">
            <v>Only on loss of rating trigger</v>
          </cell>
          <cell r="E1188" t="str">
            <v>Nur bei Verlust des Rating-Auslösers</v>
          </cell>
          <cell r="F1188" t="str">
            <v>Sólo a pérdida de rating</v>
          </cell>
          <cell r="J1188"/>
          <cell r="K1188"/>
        </row>
        <row r="1189">
          <cell r="D1189"/>
          <cell r="F1189"/>
          <cell r="J1189"/>
          <cell r="K1189"/>
        </row>
        <row r="1190">
          <cell r="D1190" t="str">
            <v>Monthly</v>
          </cell>
          <cell r="E1190" t="str">
            <v>Monatlich</v>
          </cell>
          <cell r="F1190" t="str">
            <v>Mensual</v>
          </cell>
          <cell r="J1190"/>
          <cell r="K1190"/>
        </row>
        <row r="1191">
          <cell r="D1191" t="str">
            <v>Quarterly</v>
          </cell>
          <cell r="E1191" t="str">
            <v>Vierteljährlich</v>
          </cell>
          <cell r="F1191" t="str">
            <v>Trimestral</v>
          </cell>
          <cell r="J1191"/>
          <cell r="K1191"/>
        </row>
        <row r="1192">
          <cell r="D1192"/>
          <cell r="F1192"/>
          <cell r="J1192"/>
          <cell r="K1192"/>
        </row>
        <row r="1193">
          <cell r="D1193" t="str">
            <v>BULLET</v>
          </cell>
          <cell r="E1193" t="str">
            <v>ENDFALLIGKEIT</v>
          </cell>
          <cell r="F1193" t="str">
            <v>BULLET</v>
          </cell>
          <cell r="J1193"/>
          <cell r="K1193"/>
        </row>
        <row r="1194">
          <cell r="D1194" t="str">
            <v>Pass through</v>
          </cell>
          <cell r="E1194" t="str">
            <v>Allmähliche Tilgung</v>
          </cell>
          <cell r="F1194" t="str">
            <v>Pass through</v>
          </cell>
          <cell r="J1194"/>
          <cell r="K1194"/>
        </row>
        <row r="1195">
          <cell r="D1195" t="str">
            <v>Other amortising</v>
          </cell>
          <cell r="E1195" t="str">
            <v>Sonstige Amortisierung</v>
          </cell>
          <cell r="F1195" t="str">
            <v>Otro tipo amortizativo</v>
          </cell>
          <cell r="J1195"/>
          <cell r="K1195"/>
        </row>
        <row r="1196">
          <cell r="D1196"/>
          <cell r="F1196"/>
          <cell r="J1196"/>
          <cell r="K1196"/>
        </row>
        <row r="1197">
          <cell r="D1197" t="str">
            <v>Monthly</v>
          </cell>
          <cell r="E1197" t="str">
            <v>Monatlich</v>
          </cell>
          <cell r="F1197" t="str">
            <v>Mensual</v>
          </cell>
          <cell r="J1197"/>
          <cell r="K1197"/>
        </row>
        <row r="1198">
          <cell r="D1198" t="str">
            <v>Quarterly</v>
          </cell>
          <cell r="E1198" t="str">
            <v>Vierteljährlich</v>
          </cell>
          <cell r="F1198" t="str">
            <v>Trimestral</v>
          </cell>
          <cell r="J1198"/>
          <cell r="K1198"/>
        </row>
        <row r="1199">
          <cell r="D1199" t="str">
            <v>Semi-Annually</v>
          </cell>
          <cell r="E1199" t="str">
            <v>Halbjährlich</v>
          </cell>
          <cell r="F1199" t="str">
            <v>Semestral</v>
          </cell>
          <cell r="J1199"/>
          <cell r="K1199"/>
        </row>
        <row r="1200">
          <cell r="D1200" t="str">
            <v>Annually</v>
          </cell>
          <cell r="E1200" t="str">
            <v>Jährlich</v>
          </cell>
          <cell r="F1200" t="str">
            <v>Anual</v>
          </cell>
          <cell r="J1200"/>
          <cell r="K1200"/>
        </row>
        <row r="1201">
          <cell r="D1201"/>
          <cell r="F1201"/>
          <cell r="J1201"/>
          <cell r="K1201"/>
        </row>
        <row r="1202">
          <cell r="D1202"/>
          <cell r="F1202"/>
          <cell r="J1202"/>
          <cell r="K1202"/>
        </row>
        <row r="1203">
          <cell r="D1203" t="str">
            <v>Performing</v>
          </cell>
          <cell r="E1203" t="str">
            <v>Ordnungsgemäße Bedienung</v>
          </cell>
          <cell r="F1203" t="str">
            <v>Morosidad</v>
          </cell>
          <cell r="J1203"/>
          <cell r="K1203"/>
        </row>
        <row r="1204">
          <cell r="D1204" t="str">
            <v>Performing always</v>
          </cell>
          <cell r="E1204" t="str">
            <v>Stets ordnungsgemäße Bedienung</v>
          </cell>
          <cell r="F1204" t="str">
            <v>Corriente de pago siempre</v>
          </cell>
          <cell r="J1204"/>
          <cell r="K1204"/>
        </row>
        <row r="1205">
          <cell r="D1205" t="str">
            <v>Currently performing</v>
          </cell>
          <cell r="E1205" t="str">
            <v>Derzeit ordnungsgemäße Bedienung</v>
          </cell>
          <cell r="F1205" t="str">
            <v>Actualmente corriente de pagos</v>
          </cell>
          <cell r="J1205"/>
          <cell r="K1205"/>
        </row>
        <row r="1206">
          <cell r="D1206" t="str">
            <v>Not performing arrears &lt; 2 mts (and not BPI or Fce)</v>
          </cell>
          <cell r="E1206" t="str">
            <v>Rückstände &lt; 2 Monate</v>
          </cell>
          <cell r="F1206" t="str">
            <v>En morosidad desde menos de 2 meses</v>
          </cell>
          <cell r="J1206"/>
          <cell r="K1206"/>
        </row>
        <row r="1207">
          <cell r="D1207" t="str">
            <v>Not performing arrears ≥2 mts - &lt; 6 mts (and not BPI or Fce)</v>
          </cell>
          <cell r="E1207" t="str">
            <v>Rückstände ≥ 2, &lt; 6 Monate</v>
          </cell>
          <cell r="F1207" t="str">
            <v>En morosidad a más de dos meses</v>
          </cell>
          <cell r="J1207"/>
          <cell r="K1207"/>
        </row>
        <row r="1208">
          <cell r="D1208"/>
          <cell r="F1208"/>
          <cell r="J1208"/>
          <cell r="K1208"/>
        </row>
        <row r="1209">
          <cell r="D1209" t="str">
            <v>Fixed</v>
          </cell>
          <cell r="E1209" t="str">
            <v>Fest verzinslich</v>
          </cell>
          <cell r="F1209" t="str">
            <v>Fijo</v>
          </cell>
          <cell r="J1209"/>
          <cell r="K1209"/>
        </row>
        <row r="1210">
          <cell r="D1210" t="str">
            <v>Floating (capped)</v>
          </cell>
          <cell r="E1210" t="str">
            <v>Variabel (capped)</v>
          </cell>
          <cell r="F1210" t="str">
            <v>Variable (con Caps)</v>
          </cell>
          <cell r="J1210"/>
          <cell r="K1210"/>
        </row>
        <row r="1211">
          <cell r="D1211" t="str">
            <v>Floating (no cap)</v>
          </cell>
          <cell r="E1211" t="str">
            <v>Variabel (kein Cap)</v>
          </cell>
          <cell r="F1211" t="str">
            <v>Variable (sin Caps)</v>
          </cell>
          <cell r="J1211"/>
          <cell r="K1211"/>
        </row>
        <row r="1212">
          <cell r="D1212"/>
          <cell r="F1212"/>
          <cell r="J1212"/>
          <cell r="K1212"/>
        </row>
        <row r="1213">
          <cell r="D1213" t="str">
            <v>Static</v>
          </cell>
          <cell r="E1213" t="str">
            <v>Statisch</v>
          </cell>
          <cell r="F1213" t="str">
            <v>Estático</v>
          </cell>
          <cell r="J1213"/>
          <cell r="K1213"/>
        </row>
        <row r="1214">
          <cell r="D1214" t="str">
            <v>Dynamic</v>
          </cell>
          <cell r="E1214" t="str">
            <v>Dynamisch</v>
          </cell>
          <cell r="F1214" t="str">
            <v>Dinámico</v>
          </cell>
          <cell r="J1214"/>
          <cell r="K1214"/>
        </row>
        <row r="1215">
          <cell r="D1215"/>
          <cell r="F1215"/>
          <cell r="J1215"/>
          <cell r="K1215"/>
        </row>
        <row r="1216">
          <cell r="D1216"/>
          <cell r="F1216"/>
          <cell r="J1216"/>
          <cell r="K1216"/>
        </row>
        <row r="1217">
          <cell r="D1217" t="str">
            <v>ASSUMED PREPAYMENT LEVEL</v>
          </cell>
          <cell r="E1217" t="str">
            <v>Erwartete Vorauszahlung</v>
          </cell>
          <cell r="F1217" t="str">
            <v>NIVEL DE PREPAGOS ASUMIDO</v>
          </cell>
          <cell r="J1217"/>
          <cell r="K1217"/>
        </row>
        <row r="1218">
          <cell r="D1218" t="str">
            <v>nil prepayment</v>
          </cell>
          <cell r="E1218" t="str">
            <v>Kein prepayment</v>
          </cell>
          <cell r="F1218" t="str">
            <v>0% Prepagos</v>
          </cell>
          <cell r="J1218"/>
          <cell r="K1218"/>
        </row>
        <row r="1219">
          <cell r="D1219"/>
          <cell r="F1219"/>
          <cell r="J1219"/>
          <cell r="K1219"/>
        </row>
        <row r="1220">
          <cell r="D1220" t="str">
            <v>Nominal</v>
          </cell>
          <cell r="E1220" t="str">
            <v>Nominal</v>
          </cell>
          <cell r="F1220" t="str">
            <v>Nominal</v>
          </cell>
          <cell r="J1220"/>
          <cell r="K1220"/>
        </row>
        <row r="1221">
          <cell r="D1221" t="str">
            <v>NPV</v>
          </cell>
          <cell r="E1221" t="str">
            <v>BARWERT</v>
          </cell>
          <cell r="F1221" t="str">
            <v>NPV</v>
          </cell>
          <cell r="J1221"/>
          <cell r="K1221"/>
        </row>
        <row r="1222">
          <cell r="D1222"/>
          <cell r="F1222"/>
          <cell r="J1222"/>
          <cell r="K1222"/>
        </row>
        <row r="1223">
          <cell r="D1223" t="str">
            <v>ELIGIBLE ONLY OC</v>
          </cell>
          <cell r="E1223" t="str">
            <v>DECKUNGSSTOCKFAHIG</v>
          </cell>
          <cell r="F1223" t="str">
            <v>Sólo ELEGIBLE</v>
          </cell>
          <cell r="J1223"/>
          <cell r="K1223"/>
        </row>
        <row r="1224">
          <cell r="D1224" t="str">
            <v>Ineligible Included</v>
          </cell>
          <cell r="E1224" t="str">
            <v>Nicht deckungsstockfähig</v>
          </cell>
          <cell r="F1224" t="str">
            <v>NO ELEGIBLE INCLUIDO</v>
          </cell>
          <cell r="J1224"/>
          <cell r="K1224"/>
        </row>
        <row r="1225">
          <cell r="D1225" t="str">
            <v>Direct claim against supranational</v>
          </cell>
          <cell r="E1225" t="str">
            <v>Direkter Anspruch - Supranational</v>
          </cell>
          <cell r="F1225" t="str">
            <v>PRÉSTAMOS CON GARANTÍA DE UNA ENTIDAD SUPRANACIONAL</v>
          </cell>
          <cell r="J1225"/>
          <cell r="K1225"/>
        </row>
        <row r="1226">
          <cell r="D1226" t="str">
            <v>Direct claim against sovereign</v>
          </cell>
          <cell r="E1226" t="str">
            <v>Direkter Anspruch - Staat</v>
          </cell>
          <cell r="F1226" t="str">
            <v>PRÉSTAMOS CON GARANTÍA DEL ESTADO</v>
          </cell>
          <cell r="J1226"/>
          <cell r="K1226"/>
        </row>
        <row r="1227">
          <cell r="D1227" t="str">
            <v>Loan with guarantee of sovereign</v>
          </cell>
          <cell r="E1227" t="str">
            <v>Gewährleistet durch Staat</v>
          </cell>
          <cell r="F1227" t="str">
            <v>PRÉSTAMOS A ENTIDADES PARTICIPADAS POR EL ESTADO</v>
          </cell>
          <cell r="J1227"/>
          <cell r="K1227"/>
        </row>
        <row r="1228">
          <cell r="D1228" t="str">
            <v>Direct claim against region/federal state</v>
          </cell>
          <cell r="E1228" t="str">
            <v xml:space="preserve">Direkter Anspruch - Regionalregierung </v>
          </cell>
          <cell r="F1228" t="str">
            <v>PRÉSTAMOS A.A.P.P. REGIONALES</v>
          </cell>
          <cell r="J1228"/>
          <cell r="K1228"/>
        </row>
        <row r="1229">
          <cell r="D1229" t="str">
            <v>Loan with guarantee of region/federal state</v>
          </cell>
          <cell r="E1229" t="str">
            <v>Gewährleistet durch Regionalregierung</v>
          </cell>
          <cell r="F1229" t="str">
            <v>PRÉSTAMOS A ENTIDADES PARTICIPADAS AL 100% POR AUTORIDADES REGIONALES</v>
          </cell>
          <cell r="J1229"/>
          <cell r="K1229"/>
        </row>
        <row r="1230">
          <cell r="D1230" t="str">
            <v>Direct claim against municipality</v>
          </cell>
          <cell r="E1230" t="str">
            <v>Direkter Anspruch - örtliche Gebietskörperschaft</v>
          </cell>
          <cell r="F1230" t="str">
            <v>PRÉSTAMOS A.A.P.P. LOCALES</v>
          </cell>
          <cell r="J1230"/>
          <cell r="K1230"/>
        </row>
        <row r="1231">
          <cell r="D1231" t="str">
            <v>Loan with guarantee of municipality</v>
          </cell>
          <cell r="E1231" t="str">
            <v>Gewährleistet durch örtliche Gebietskörperschaft</v>
          </cell>
          <cell r="F1231" t="str">
            <v>PRÉSTAMOS A ENTIDADES PARTICIPADAS AL 100% POR AUTORIDADES LOCALES</v>
          </cell>
          <cell r="J1231"/>
          <cell r="K1231"/>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6">
          <cell r="B6" t="str">
            <v>EUR</v>
          </cell>
        </row>
        <row r="7">
          <cell r="B7" t="str">
            <v>USD</v>
          </cell>
        </row>
        <row r="8">
          <cell r="B8" t="str">
            <v>GBP</v>
          </cell>
        </row>
        <row r="9">
          <cell r="B9" t="str">
            <v>AUD</v>
          </cell>
        </row>
        <row r="10">
          <cell r="B10" t="str">
            <v>BGN (Bulgaria)</v>
          </cell>
        </row>
        <row r="11">
          <cell r="B11" t="str">
            <v>CAD (Canada)</v>
          </cell>
        </row>
        <row r="12">
          <cell r="B12" t="str">
            <v>CHF</v>
          </cell>
        </row>
        <row r="13">
          <cell r="B13" t="str">
            <v>CZK (Czech Rep.)</v>
          </cell>
        </row>
        <row r="14">
          <cell r="B14" t="str">
            <v>DKK (Denmark)</v>
          </cell>
        </row>
        <row r="15">
          <cell r="B15" t="str">
            <v>EEK (Estonia)</v>
          </cell>
        </row>
        <row r="16">
          <cell r="B16" t="str">
            <v>HRK (Croatia)</v>
          </cell>
        </row>
        <row r="17">
          <cell r="B17" t="str">
            <v>HUF (Hungary)</v>
          </cell>
        </row>
        <row r="18">
          <cell r="B18" t="str">
            <v>ISK (Iceland)</v>
          </cell>
        </row>
        <row r="19">
          <cell r="B19" t="str">
            <v>JPY</v>
          </cell>
        </row>
        <row r="20">
          <cell r="B20" t="str">
            <v>LTL (Lithuania)</v>
          </cell>
        </row>
        <row r="21">
          <cell r="B21" t="str">
            <v>LVL (Latvia)</v>
          </cell>
        </row>
        <row r="22">
          <cell r="B22" t="str">
            <v>NOK (Norway)</v>
          </cell>
        </row>
        <row r="23">
          <cell r="B23" t="str">
            <v>PLN (Poland)</v>
          </cell>
        </row>
        <row r="24">
          <cell r="B24" t="str">
            <v>RON (Romania)</v>
          </cell>
        </row>
        <row r="25">
          <cell r="B25" t="str">
            <v>RUB (Russia)</v>
          </cell>
        </row>
        <row r="26">
          <cell r="B26" t="str">
            <v>SEK (Sweden)</v>
          </cell>
        </row>
        <row r="27">
          <cell r="B27" t="str">
            <v>TRY (Turkey)</v>
          </cell>
        </row>
        <row r="28">
          <cell r="B28" t="str">
            <v>ZAR (South Africa)</v>
          </cell>
        </row>
      </sheetData>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6">
          <cell r="B6" t="str">
            <v>EUR</v>
          </cell>
        </row>
        <row r="7">
          <cell r="B7" t="str">
            <v>USD</v>
          </cell>
        </row>
        <row r="8">
          <cell r="B8" t="str">
            <v>GBP</v>
          </cell>
        </row>
        <row r="9">
          <cell r="B9" t="str">
            <v>AUD</v>
          </cell>
        </row>
        <row r="10">
          <cell r="B10" t="str">
            <v>BGN (Bulgaria)</v>
          </cell>
        </row>
        <row r="11">
          <cell r="B11" t="str">
            <v>CAD (Canada)</v>
          </cell>
        </row>
        <row r="12">
          <cell r="B12" t="str">
            <v>CHF</v>
          </cell>
        </row>
        <row r="13">
          <cell r="B13" t="str">
            <v>CZK (Czech Rep.)</v>
          </cell>
        </row>
        <row r="14">
          <cell r="B14" t="str">
            <v>DKK (Denmark)</v>
          </cell>
        </row>
        <row r="15">
          <cell r="B15" t="str">
            <v>EEK (Estonia)</v>
          </cell>
        </row>
        <row r="16">
          <cell r="B16" t="str">
            <v>HRK (Croatia)</v>
          </cell>
        </row>
        <row r="17">
          <cell r="B17" t="str">
            <v>HUF (Hungary)</v>
          </cell>
        </row>
        <row r="18">
          <cell r="B18" t="str">
            <v>ISK (Iceland)</v>
          </cell>
        </row>
        <row r="19">
          <cell r="B19" t="str">
            <v>JPY</v>
          </cell>
        </row>
        <row r="20">
          <cell r="B20" t="str">
            <v>LTL (Lithuania)</v>
          </cell>
        </row>
        <row r="21">
          <cell r="B21" t="str">
            <v>LVL (Latvia)</v>
          </cell>
        </row>
        <row r="22">
          <cell r="B22" t="str">
            <v>NOK (Norway)</v>
          </cell>
        </row>
        <row r="23">
          <cell r="B23" t="str">
            <v>PLN (Poland)</v>
          </cell>
        </row>
        <row r="24">
          <cell r="B24" t="str">
            <v>RON (Romania)</v>
          </cell>
        </row>
        <row r="25">
          <cell r="B25" t="str">
            <v>RUB (Russia)</v>
          </cell>
        </row>
        <row r="26">
          <cell r="B26" t="str">
            <v>SEK (Sweden)</v>
          </cell>
        </row>
        <row r="27">
          <cell r="B27" t="str">
            <v>TRY (Turkey)</v>
          </cell>
        </row>
        <row r="28">
          <cell r="B28" t="str">
            <v>ZAR (South Africa)</v>
          </cell>
        </row>
      </sheetData>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erisiko Verd"/>
      <sheetName val="Likviditetsportefølje"/>
      <sheetName val="Forfallsmismatch"/>
      <sheetName val="Nedbetaling"/>
      <sheetName val="Nedbetaling kvartalsvis"/>
      <sheetName val="Likviditetsrammer"/>
    </sheetNames>
    <sheetDataSet>
      <sheetData sheetId="0"/>
      <sheetData sheetId="1"/>
      <sheetData sheetId="2">
        <row r="2">
          <cell r="B2" t="str">
            <v>Covered Bonds</v>
          </cell>
          <cell r="E2" t="str">
            <v>Planned amortisation cover pool</v>
          </cell>
          <cell r="F2" t="str">
            <v>Real amortisation cover pool (3% Prepayments)*</v>
          </cell>
        </row>
        <row r="3">
          <cell r="A3">
            <v>41274</v>
          </cell>
          <cell r="B3">
            <v>2965000000</v>
          </cell>
          <cell r="E3">
            <v>3644000000</v>
          </cell>
          <cell r="F3">
            <v>3644000000</v>
          </cell>
        </row>
        <row r="4">
          <cell r="A4">
            <v>41305</v>
          </cell>
          <cell r="B4">
            <v>2965000000</v>
          </cell>
          <cell r="E4">
            <v>3634416082.5715165</v>
          </cell>
          <cell r="F4">
            <v>3539990000</v>
          </cell>
        </row>
        <row r="5">
          <cell r="A5">
            <v>41333</v>
          </cell>
          <cell r="B5">
            <v>2965000000</v>
          </cell>
          <cell r="E5">
            <v>3624799899.2876902</v>
          </cell>
          <cell r="F5">
            <v>3439100300</v>
          </cell>
        </row>
        <row r="6">
          <cell r="A6">
            <v>41364</v>
          </cell>
          <cell r="B6">
            <v>2965000000</v>
          </cell>
          <cell r="E6">
            <v>3615151341.5201416</v>
          </cell>
          <cell r="F6">
            <v>3341237291</v>
          </cell>
        </row>
        <row r="7">
          <cell r="A7">
            <v>41394</v>
          </cell>
          <cell r="B7">
            <v>2965000000</v>
          </cell>
          <cell r="E7">
            <v>3605470300.274776</v>
          </cell>
          <cell r="F7">
            <v>3246310172.27</v>
          </cell>
        </row>
        <row r="8">
          <cell r="A8">
            <v>41425</v>
          </cell>
          <cell r="B8">
            <v>2965000000</v>
          </cell>
          <cell r="E8">
            <v>3595756666.1905503</v>
          </cell>
          <cell r="F8">
            <v>3154230867.1019001</v>
          </cell>
        </row>
        <row r="9">
          <cell r="A9">
            <v>41455</v>
          </cell>
          <cell r="B9">
            <v>2275000000</v>
          </cell>
          <cell r="E9">
            <v>3586010329.5382419</v>
          </cell>
          <cell r="F9">
            <v>3064913941.0888429</v>
          </cell>
        </row>
        <row r="10">
          <cell r="A10">
            <v>41486</v>
          </cell>
          <cell r="B10">
            <v>2275000000</v>
          </cell>
          <cell r="E10">
            <v>3576231180.2192035</v>
          </cell>
          <cell r="F10">
            <v>2978276522.8561773</v>
          </cell>
        </row>
        <row r="11">
          <cell r="A11">
            <v>41517</v>
          </cell>
          <cell r="B11">
            <v>2275000000</v>
          </cell>
          <cell r="E11">
            <v>3566419107.7641244</v>
          </cell>
          <cell r="F11">
            <v>2894238227.1704922</v>
          </cell>
        </row>
        <row r="12">
          <cell r="A12">
            <v>41547</v>
          </cell>
          <cell r="B12">
            <v>2275000000</v>
          </cell>
          <cell r="E12">
            <v>3556574001.33178</v>
          </cell>
          <cell r="F12">
            <v>2812721080.3553772</v>
          </cell>
        </row>
        <row r="13">
          <cell r="A13">
            <v>41578</v>
          </cell>
          <cell r="B13">
            <v>2275000000</v>
          </cell>
          <cell r="E13">
            <v>3546695749.7077799</v>
          </cell>
          <cell r="F13">
            <v>2733649447.944716</v>
          </cell>
        </row>
        <row r="14">
          <cell r="A14">
            <v>41608</v>
          </cell>
          <cell r="B14">
            <v>2075000000</v>
          </cell>
          <cell r="E14">
            <v>3536784241.3033123</v>
          </cell>
          <cell r="F14">
            <v>2656949964.5063744</v>
          </cell>
        </row>
        <row r="15">
          <cell r="A15">
            <v>41639</v>
          </cell>
          <cell r="B15">
            <v>2075000000</v>
          </cell>
          <cell r="E15">
            <v>3526839364.153883</v>
          </cell>
          <cell r="F15">
            <v>2582551465.5711832</v>
          </cell>
        </row>
        <row r="16">
          <cell r="A16">
            <v>41670</v>
          </cell>
          <cell r="B16">
            <v>2075000000</v>
          </cell>
          <cell r="E16">
            <v>3516861005.9180508</v>
          </cell>
          <cell r="F16">
            <v>2510384921.6040478</v>
          </cell>
        </row>
        <row r="17">
          <cell r="A17">
            <v>41698</v>
          </cell>
          <cell r="B17">
            <v>2075000000</v>
          </cell>
          <cell r="E17">
            <v>3506849053.8761578</v>
          </cell>
          <cell r="F17">
            <v>2440383373.9559264</v>
          </cell>
        </row>
        <row r="18">
          <cell r="A18">
            <v>41729</v>
          </cell>
          <cell r="B18">
            <v>2075000000</v>
          </cell>
          <cell r="E18">
            <v>3496803394.9290576</v>
          </cell>
          <cell r="F18">
            <v>2372481872.7372484</v>
          </cell>
        </row>
        <row r="19">
          <cell r="A19">
            <v>41759</v>
          </cell>
          <cell r="B19">
            <v>2075000000</v>
          </cell>
          <cell r="E19">
            <v>3486723915.5968347</v>
          </cell>
          <cell r="F19">
            <v>2306617416.555131</v>
          </cell>
        </row>
        <row r="20">
          <cell r="A20">
            <v>41790</v>
          </cell>
          <cell r="B20">
            <v>1225000000</v>
          </cell>
          <cell r="E20">
            <v>3476610502.0175271</v>
          </cell>
          <cell r="F20">
            <v>2242728894.0584769</v>
          </cell>
        </row>
        <row r="21">
          <cell r="A21">
            <v>41820</v>
          </cell>
          <cell r="B21">
            <v>1225000000</v>
          </cell>
          <cell r="E21">
            <v>3466463039.9458361</v>
          </cell>
          <cell r="F21">
            <v>2180757027.2367225</v>
          </cell>
        </row>
        <row r="22">
          <cell r="A22">
            <v>41851</v>
          </cell>
          <cell r="B22">
            <v>1225000000</v>
          </cell>
          <cell r="E22">
            <v>3456281414.7518363</v>
          </cell>
          <cell r="F22">
            <v>2120644316.4196208</v>
          </cell>
        </row>
        <row r="23">
          <cell r="A23">
            <v>41882</v>
          </cell>
          <cell r="B23">
            <v>1225000000</v>
          </cell>
          <cell r="E23">
            <v>3446065511.4196839</v>
          </cell>
          <cell r="F23">
            <v>2062334986.927032</v>
          </cell>
        </row>
        <row r="24">
          <cell r="A24">
            <v>41912</v>
          </cell>
          <cell r="B24">
            <v>1225000000</v>
          </cell>
          <cell r="E24">
            <v>3435815214.5463133</v>
          </cell>
          <cell r="F24">
            <v>2005774937.319221</v>
          </cell>
        </row>
        <row r="25">
          <cell r="A25">
            <v>41943</v>
          </cell>
          <cell r="B25">
            <v>1225000000</v>
          </cell>
          <cell r="E25">
            <v>3425530408.3401356</v>
          </cell>
          <cell r="F25">
            <v>1950911689.1996443</v>
          </cell>
        </row>
        <row r="26">
          <cell r="A26">
            <v>41973</v>
          </cell>
          <cell r="B26">
            <v>1225000000</v>
          </cell>
          <cell r="E26">
            <v>3415210976.6197305</v>
          </cell>
          <cell r="F26">
            <v>1897694338.5236549</v>
          </cell>
        </row>
        <row r="27">
          <cell r="A27">
            <v>42004</v>
          </cell>
          <cell r="B27">
            <v>1225000000</v>
          </cell>
          <cell r="E27">
            <v>3404856802.8125329</v>
          </cell>
          <cell r="F27">
            <v>1846073508.3679452</v>
          </cell>
        </row>
        <row r="28">
          <cell r="A28">
            <v>42035</v>
          </cell>
          <cell r="B28">
            <v>1225000000</v>
          </cell>
          <cell r="E28">
            <v>3394467769.9535184</v>
          </cell>
          <cell r="F28">
            <v>1796001303.1169069</v>
          </cell>
        </row>
        <row r="29">
          <cell r="A29">
            <v>42063</v>
          </cell>
          <cell r="B29">
            <v>1225000000</v>
          </cell>
          <cell r="E29">
            <v>3384043760.6838779</v>
          </cell>
          <cell r="F29">
            <v>1747431264.0233996</v>
          </cell>
        </row>
        <row r="30">
          <cell r="A30">
            <v>42094</v>
          </cell>
          <cell r="B30">
            <v>1225000000</v>
          </cell>
          <cell r="E30">
            <v>3373584657.2496967</v>
          </cell>
          <cell r="F30">
            <v>1700318326.1026976</v>
          </cell>
        </row>
        <row r="31">
          <cell r="A31">
            <v>42124</v>
          </cell>
          <cell r="B31">
            <v>875000000</v>
          </cell>
          <cell r="E31">
            <v>3363090341.5006204</v>
          </cell>
          <cell r="F31">
            <v>1654618776.3196166</v>
          </cell>
        </row>
        <row r="32">
          <cell r="A32">
            <v>42155</v>
          </cell>
          <cell r="B32">
            <v>875000000</v>
          </cell>
          <cell r="E32">
            <v>3302560694.8885221</v>
          </cell>
          <cell r="F32">
            <v>1560290213.0300281</v>
          </cell>
        </row>
        <row r="33">
          <cell r="A33">
            <v>42185</v>
          </cell>
          <cell r="B33">
            <v>875000000</v>
          </cell>
          <cell r="E33">
            <v>3291995598.4661632</v>
          </cell>
          <cell r="F33">
            <v>1517291506.6391273</v>
          </cell>
        </row>
        <row r="34">
          <cell r="A34">
            <v>42216</v>
          </cell>
          <cell r="B34">
            <v>875000000</v>
          </cell>
          <cell r="E34">
            <v>3281394932.885849</v>
          </cell>
          <cell r="F34">
            <v>1475582761.4399533</v>
          </cell>
        </row>
        <row r="35">
          <cell r="A35">
            <v>42247</v>
          </cell>
          <cell r="B35">
            <v>875000000</v>
          </cell>
          <cell r="E35">
            <v>3270758578.3980808</v>
          </cell>
          <cell r="F35">
            <v>1435125278.5967548</v>
          </cell>
        </row>
        <row r="36">
          <cell r="A36">
            <v>42277</v>
          </cell>
          <cell r="B36">
            <v>575000000</v>
          </cell>
          <cell r="E36">
            <v>3260086414.850204</v>
          </cell>
          <cell r="F36">
            <v>1395881520.238852</v>
          </cell>
        </row>
        <row r="37">
          <cell r="A37">
            <v>42308</v>
          </cell>
          <cell r="B37">
            <v>575000000</v>
          </cell>
          <cell r="E37">
            <v>3249378321.6850495</v>
          </cell>
          <cell r="F37">
            <v>1357815074.6316864</v>
          </cell>
        </row>
        <row r="38">
          <cell r="A38">
            <v>42338</v>
          </cell>
          <cell r="B38">
            <v>575000000</v>
          </cell>
          <cell r="E38">
            <v>3238634177.9395719</v>
          </cell>
          <cell r="F38">
            <v>1320890622.3927357</v>
          </cell>
        </row>
        <row r="39">
          <cell r="A39">
            <v>42369</v>
          </cell>
          <cell r="B39">
            <v>575000000</v>
          </cell>
          <cell r="E39">
            <v>3227853862.243485</v>
          </cell>
          <cell r="F39">
            <v>1285073903.7209537</v>
          </cell>
        </row>
        <row r="40">
          <cell r="A40">
            <v>42400</v>
          </cell>
          <cell r="B40">
            <v>575000000</v>
          </cell>
          <cell r="E40">
            <v>3217037252.8178878</v>
          </cell>
          <cell r="F40">
            <v>1250331686.6093252</v>
          </cell>
        </row>
        <row r="41">
          <cell r="A41">
            <v>42429</v>
          </cell>
          <cell r="B41">
            <v>575000000</v>
          </cell>
          <cell r="E41">
            <v>3206184227.4738908</v>
          </cell>
          <cell r="F41">
            <v>1216631736.0110455</v>
          </cell>
        </row>
        <row r="42">
          <cell r="A42">
            <v>42460</v>
          </cell>
          <cell r="B42">
            <v>575000000</v>
          </cell>
          <cell r="E42">
            <v>3170294663.6112361</v>
          </cell>
          <cell r="F42">
            <v>1158942783.9307141</v>
          </cell>
        </row>
        <row r="43">
          <cell r="A43">
            <v>42490</v>
          </cell>
          <cell r="B43">
            <v>575000000</v>
          </cell>
          <cell r="E43">
            <v>3159368438.2169104</v>
          </cell>
          <cell r="F43">
            <v>1127234500.4127927</v>
          </cell>
        </row>
        <row r="44">
          <cell r="A44">
            <v>42521</v>
          </cell>
          <cell r="B44">
            <v>575000000</v>
          </cell>
          <cell r="E44">
            <v>3148405427.8637567</v>
          </cell>
          <cell r="F44">
            <v>1096477465.4004087</v>
          </cell>
        </row>
        <row r="45">
          <cell r="A45">
            <v>42551</v>
          </cell>
          <cell r="B45">
            <v>575000000</v>
          </cell>
          <cell r="E45">
            <v>3137405508.7090812</v>
          </cell>
          <cell r="F45">
            <v>1066643141.4383965</v>
          </cell>
        </row>
        <row r="46">
          <cell r="A46">
            <v>42582</v>
          </cell>
          <cell r="B46">
            <v>275000000</v>
          </cell>
          <cell r="E46">
            <v>3126368556.4932513</v>
          </cell>
          <cell r="F46">
            <v>1037703847.1952446</v>
          </cell>
        </row>
        <row r="47">
          <cell r="A47">
            <v>42613</v>
          </cell>
          <cell r="B47">
            <v>275000000</v>
          </cell>
          <cell r="E47">
            <v>3115294446.5382948</v>
          </cell>
          <cell r="F47">
            <v>1009632731.7793872</v>
          </cell>
        </row>
        <row r="48">
          <cell r="A48">
            <v>42643</v>
          </cell>
          <cell r="B48">
            <v>275000000</v>
          </cell>
          <cell r="E48">
            <v>3104183053.74649</v>
          </cell>
          <cell r="F48">
            <v>982403749.82600558</v>
          </cell>
        </row>
        <row r="49">
          <cell r="A49">
            <v>42674</v>
          </cell>
          <cell r="B49">
            <v>275000000</v>
          </cell>
          <cell r="E49">
            <v>3093034252.5989528</v>
          </cell>
          <cell r="F49">
            <v>955991637.3312254</v>
          </cell>
        </row>
        <row r="50">
          <cell r="A50">
            <v>42704</v>
          </cell>
          <cell r="B50">
            <v>275000000</v>
          </cell>
          <cell r="E50">
            <v>3081847917.1542192</v>
          </cell>
          <cell r="F50">
            <v>930371888.21128857</v>
          </cell>
        </row>
        <row r="51">
          <cell r="A51">
            <v>42735</v>
          </cell>
          <cell r="B51">
            <v>275000000</v>
          </cell>
          <cell r="E51">
            <v>3070623921.0468211</v>
          </cell>
          <cell r="F51">
            <v>905520731.56494987</v>
          </cell>
        </row>
        <row r="52">
          <cell r="A52">
            <v>42766</v>
          </cell>
          <cell r="B52">
            <v>275000000</v>
          </cell>
          <cell r="E52">
            <v>3059362137.4858618</v>
          </cell>
          <cell r="F52">
            <v>881415109.61800134</v>
          </cell>
        </row>
        <row r="53">
          <cell r="A53">
            <v>42794</v>
          </cell>
          <cell r="B53">
            <v>200000000</v>
          </cell>
          <cell r="E53">
            <v>3023062439.2535806</v>
          </cell>
          <cell r="F53">
            <v>833032656.32946134</v>
          </cell>
        </row>
        <row r="54">
          <cell r="A54">
            <v>42825</v>
          </cell>
          <cell r="B54">
            <v>200000000</v>
          </cell>
          <cell r="E54">
            <v>3011724698.7039175</v>
          </cell>
          <cell r="F54">
            <v>810351676.63957751</v>
          </cell>
        </row>
        <row r="55">
          <cell r="A55">
            <v>42855</v>
          </cell>
          <cell r="B55">
            <v>200000000</v>
          </cell>
          <cell r="E55">
            <v>3000348787.7610703</v>
          </cell>
          <cell r="F55">
            <v>788351126.34039021</v>
          </cell>
        </row>
        <row r="56">
          <cell r="A56">
            <v>42886</v>
          </cell>
          <cell r="B56">
            <v>200000000</v>
          </cell>
          <cell r="E56">
            <v>2988934577.9180489</v>
          </cell>
          <cell r="F56">
            <v>767010592.55017853</v>
          </cell>
        </row>
        <row r="57">
          <cell r="A57">
            <v>42916</v>
          </cell>
          <cell r="B57">
            <v>200000000</v>
          </cell>
          <cell r="E57">
            <v>2977481940.2352223</v>
          </cell>
          <cell r="F57">
            <v>746310274.77367318</v>
          </cell>
        </row>
        <row r="58">
          <cell r="A58">
            <v>42947</v>
          </cell>
          <cell r="B58">
            <v>200000000</v>
          </cell>
          <cell r="E58">
            <v>2965990745.3388643</v>
          </cell>
          <cell r="F58">
            <v>726230966.53046298</v>
          </cell>
        </row>
        <row r="59">
          <cell r="A59">
            <v>42978</v>
          </cell>
          <cell r="B59">
            <v>200000000</v>
          </cell>
          <cell r="E59">
            <v>2929460863.4196877</v>
          </cell>
          <cell r="F59">
            <v>681754037.53454912</v>
          </cell>
        </row>
        <row r="60">
          <cell r="A60">
            <v>43008</v>
          </cell>
          <cell r="B60">
            <v>0</v>
          </cell>
          <cell r="E60">
            <v>2917892164.2313838</v>
          </cell>
          <cell r="F60">
            <v>662861416.40851259</v>
          </cell>
        </row>
        <row r="61">
          <cell r="A61">
            <v>43039</v>
          </cell>
          <cell r="B61">
            <v>0</v>
          </cell>
          <cell r="E61">
            <v>2906284517.0891457</v>
          </cell>
          <cell r="F61">
            <v>644535573.91625714</v>
          </cell>
        </row>
        <row r="62">
          <cell r="A62">
            <v>43069</v>
          </cell>
          <cell r="B62">
            <v>0</v>
          </cell>
          <cell r="E62">
            <v>2894637790.8681955</v>
          </cell>
          <cell r="F62">
            <v>626759506.69876945</v>
          </cell>
        </row>
        <row r="63">
          <cell r="A63">
            <v>43100</v>
          </cell>
          <cell r="B63">
            <v>0</v>
          </cell>
          <cell r="E63">
            <v>2882951854.0023012</v>
          </cell>
          <cell r="F63">
            <v>609516721.49780631</v>
          </cell>
        </row>
        <row r="64">
          <cell r="A64">
            <v>43131</v>
          </cell>
          <cell r="B64">
            <v>0</v>
          </cell>
          <cell r="E64">
            <v>2871226574.4822922</v>
          </cell>
          <cell r="F64">
            <v>592791219.85287213</v>
          </cell>
        </row>
        <row r="65">
          <cell r="A65">
            <v>43159</v>
          </cell>
          <cell r="B65">
            <v>0</v>
          </cell>
          <cell r="E65">
            <v>2859461819.8545656</v>
          </cell>
          <cell r="F65">
            <v>576567483.25728595</v>
          </cell>
        </row>
        <row r="66">
          <cell r="A66">
            <v>43190</v>
          </cell>
          <cell r="B66">
            <v>0</v>
          </cell>
          <cell r="E66">
            <v>2847657457.2195921</v>
          </cell>
          <cell r="F66">
            <v>560830458.75956738</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erisiko Verd"/>
      <sheetName val="Likviditetsportefølje"/>
      <sheetName val="Forfallsmismatch"/>
      <sheetName val="Nedbetaling"/>
      <sheetName val="Nedbetaling kvartalsvis"/>
    </sheetNames>
    <sheetDataSet>
      <sheetData sheetId="0"/>
      <sheetData sheetId="1"/>
      <sheetData sheetId="2">
        <row r="2">
          <cell r="B2" t="str">
            <v>Covered Bonds</v>
          </cell>
          <cell r="E2" t="str">
            <v>Planned amortisation cover pool</v>
          </cell>
          <cell r="F2" t="str">
            <v>Real amortisation cover pool (3% Prepayments)*</v>
          </cell>
        </row>
        <row r="3">
          <cell r="A3">
            <v>41182</v>
          </cell>
          <cell r="B3">
            <v>2965000000</v>
          </cell>
          <cell r="E3">
            <v>3635000000</v>
          </cell>
          <cell r="F3">
            <v>3635000000</v>
          </cell>
        </row>
        <row r="4">
          <cell r="A4">
            <v>41213</v>
          </cell>
          <cell r="B4">
            <v>2965000000</v>
          </cell>
          <cell r="E4">
            <v>3625598528.0720296</v>
          </cell>
          <cell r="F4">
            <v>3532970000</v>
          </cell>
        </row>
        <row r="5">
          <cell r="A5">
            <v>41243</v>
          </cell>
          <cell r="B5">
            <v>2965000000</v>
          </cell>
          <cell r="E5">
            <v>3616165404.5219021</v>
          </cell>
          <cell r="F5">
            <v>3434000900</v>
          </cell>
        </row>
        <row r="6">
          <cell r="A6">
            <v>41274</v>
          </cell>
          <cell r="B6">
            <v>2965000000</v>
          </cell>
          <cell r="E6">
            <v>3606700522.7891555</v>
          </cell>
          <cell r="F6">
            <v>3338000873</v>
          </cell>
        </row>
        <row r="7">
          <cell r="A7">
            <v>41305</v>
          </cell>
          <cell r="B7">
            <v>2965000000</v>
          </cell>
          <cell r="E7">
            <v>3597203775.9545751</v>
          </cell>
          <cell r="F7">
            <v>3244880846.8099999</v>
          </cell>
        </row>
        <row r="8">
          <cell r="A8">
            <v>41333</v>
          </cell>
          <cell r="B8">
            <v>2965000000</v>
          </cell>
          <cell r="E8">
            <v>3587675056.7389855</v>
          </cell>
          <cell r="F8">
            <v>3154554421.4056997</v>
          </cell>
        </row>
        <row r="9">
          <cell r="A9">
            <v>41364</v>
          </cell>
          <cell r="B9">
            <v>2965000000</v>
          </cell>
          <cell r="E9">
            <v>3578114257.5020361</v>
          </cell>
          <cell r="F9">
            <v>3066937788.7635288</v>
          </cell>
        </row>
        <row r="10">
          <cell r="A10">
            <v>41394</v>
          </cell>
          <cell r="B10">
            <v>2965000000</v>
          </cell>
          <cell r="E10">
            <v>3568521270.2409897</v>
          </cell>
          <cell r="F10">
            <v>2981949655.1006227</v>
          </cell>
        </row>
        <row r="11">
          <cell r="A11">
            <v>41425</v>
          </cell>
          <cell r="B11">
            <v>2965000000</v>
          </cell>
          <cell r="E11">
            <v>3558895986.5894971</v>
          </cell>
          <cell r="F11">
            <v>2899511165.4476037</v>
          </cell>
        </row>
        <row r="12">
          <cell r="A12">
            <v>41455</v>
          </cell>
          <cell r="B12">
            <v>2275000000</v>
          </cell>
          <cell r="E12">
            <v>3549238297.8163781</v>
          </cell>
          <cell r="F12">
            <v>2819545830.4841757</v>
          </cell>
        </row>
        <row r="13">
          <cell r="A13">
            <v>41486</v>
          </cell>
          <cell r="B13">
            <v>2275000000</v>
          </cell>
          <cell r="E13">
            <v>3539548094.8243899</v>
          </cell>
          <cell r="F13">
            <v>2741979455.5696502</v>
          </cell>
        </row>
        <row r="14">
          <cell r="A14">
            <v>41517</v>
          </cell>
          <cell r="B14">
            <v>2275000000</v>
          </cell>
          <cell r="E14">
            <v>3529825268.1489949</v>
          </cell>
          <cell r="F14">
            <v>2666740071.9025607</v>
          </cell>
        </row>
        <row r="15">
          <cell r="A15">
            <v>41547</v>
          </cell>
          <cell r="B15">
            <v>2275000000</v>
          </cell>
          <cell r="E15">
            <v>3520069707.9571261</v>
          </cell>
          <cell r="F15">
            <v>2593757869.7454839</v>
          </cell>
        </row>
        <row r="16">
          <cell r="A16">
            <v>41578</v>
          </cell>
          <cell r="B16">
            <v>2275000000</v>
          </cell>
          <cell r="E16">
            <v>3510281304.0459452</v>
          </cell>
          <cell r="F16">
            <v>2522965133.6531191</v>
          </cell>
        </row>
        <row r="17">
          <cell r="A17">
            <v>41608</v>
          </cell>
          <cell r="B17">
            <v>2075000000</v>
          </cell>
          <cell r="E17">
            <v>3500459945.8415961</v>
          </cell>
          <cell r="F17">
            <v>2454296179.6435256</v>
          </cell>
        </row>
        <row r="18">
          <cell r="A18">
            <v>41639</v>
          </cell>
          <cell r="B18">
            <v>2075000000</v>
          </cell>
          <cell r="E18">
            <v>3490605522.3979592</v>
          </cell>
          <cell r="F18">
            <v>2387687294.25422</v>
          </cell>
        </row>
        <row r="19">
          <cell r="A19">
            <v>41670</v>
          </cell>
          <cell r="B19">
            <v>2075000000</v>
          </cell>
          <cell r="E19">
            <v>3480717922.3953953</v>
          </cell>
          <cell r="F19">
            <v>2323076675.4265933</v>
          </cell>
        </row>
        <row r="20">
          <cell r="A20">
            <v>41698</v>
          </cell>
          <cell r="B20">
            <v>2075000000</v>
          </cell>
          <cell r="E20">
            <v>3470797034.1394897</v>
          </cell>
          <cell r="F20">
            <v>2260404375.1637955</v>
          </cell>
        </row>
        <row r="21">
          <cell r="A21">
            <v>41729</v>
          </cell>
          <cell r="B21">
            <v>2075000000</v>
          </cell>
          <cell r="E21">
            <v>3460842745.5597887</v>
          </cell>
          <cell r="F21">
            <v>2199612243.9088817</v>
          </cell>
        </row>
        <row r="22">
          <cell r="A22">
            <v>41759</v>
          </cell>
          <cell r="B22">
            <v>2075000000</v>
          </cell>
          <cell r="E22">
            <v>3450854944.2085366</v>
          </cell>
          <cell r="F22">
            <v>2140643876.5916152</v>
          </cell>
        </row>
        <row r="23">
          <cell r="A23">
            <v>41790</v>
          </cell>
          <cell r="B23">
            <v>1225000000</v>
          </cell>
          <cell r="E23">
            <v>3440833517.2594013</v>
          </cell>
          <cell r="F23">
            <v>2083444560.2938666</v>
          </cell>
        </row>
        <row r="24">
          <cell r="A24">
            <v>41820</v>
          </cell>
          <cell r="B24">
            <v>1225000000</v>
          </cell>
          <cell r="E24">
            <v>3430778351.5062046</v>
          </cell>
          <cell r="F24">
            <v>2027961223.4850507</v>
          </cell>
        </row>
        <row r="25">
          <cell r="A25">
            <v>41851</v>
          </cell>
          <cell r="B25">
            <v>1225000000</v>
          </cell>
          <cell r="E25">
            <v>3420689333.3616385</v>
          </cell>
          <cell r="F25">
            <v>1974142386.7804992</v>
          </cell>
        </row>
        <row r="26">
          <cell r="A26">
            <v>41882</v>
          </cell>
          <cell r="B26">
            <v>1225000000</v>
          </cell>
          <cell r="E26">
            <v>3410566348.8559856</v>
          </cell>
          <cell r="F26">
            <v>1921938115.1770842</v>
          </cell>
        </row>
        <row r="27">
          <cell r="A27">
            <v>41912</v>
          </cell>
          <cell r="B27">
            <v>1225000000</v>
          </cell>
          <cell r="E27">
            <v>3400409283.6358304</v>
          </cell>
          <cell r="F27">
            <v>1871299971.7217717</v>
          </cell>
        </row>
        <row r="28">
          <cell r="A28">
            <v>41943</v>
          </cell>
          <cell r="B28">
            <v>1225000000</v>
          </cell>
          <cell r="E28">
            <v>3390218022.9627676</v>
          </cell>
          <cell r="F28">
            <v>1822180972.5701184</v>
          </cell>
        </row>
        <row r="29">
          <cell r="A29">
            <v>41973</v>
          </cell>
          <cell r="B29">
            <v>1225000000</v>
          </cell>
          <cell r="E29">
            <v>3379992451.7121053</v>
          </cell>
          <cell r="F29">
            <v>1774535543.3930149</v>
          </cell>
        </row>
        <row r="30">
          <cell r="A30">
            <v>42004</v>
          </cell>
          <cell r="B30">
            <v>1225000000</v>
          </cell>
          <cell r="E30">
            <v>3369732454.3715658</v>
          </cell>
          <cell r="F30">
            <v>1728319477.0912244</v>
          </cell>
        </row>
        <row r="31">
          <cell r="A31">
            <v>42035</v>
          </cell>
          <cell r="B31">
            <v>1225000000</v>
          </cell>
          <cell r="E31">
            <v>3359437915.0399799</v>
          </cell>
          <cell r="F31">
            <v>1683489892.7784877</v>
          </cell>
        </row>
        <row r="32">
          <cell r="A32">
            <v>42063</v>
          </cell>
          <cell r="B32">
            <v>1225000000</v>
          </cell>
          <cell r="E32">
            <v>3349108717.4259772</v>
          </cell>
          <cell r="F32">
            <v>1640005195.9951329</v>
          </cell>
        </row>
        <row r="33">
          <cell r="A33">
            <v>42094</v>
          </cell>
          <cell r="B33">
            <v>1225000000</v>
          </cell>
          <cell r="E33">
            <v>3338744744.8466744</v>
          </cell>
          <cell r="F33">
            <v>1597825040.115279</v>
          </cell>
        </row>
        <row r="34">
          <cell r="A34">
            <v>42124</v>
          </cell>
          <cell r="B34">
            <v>875000000</v>
          </cell>
          <cell r="E34">
            <v>3328345880.2263546</v>
          </cell>
          <cell r="F34">
            <v>1556910288.9118207</v>
          </cell>
        </row>
        <row r="35">
          <cell r="A35">
            <v>42155</v>
          </cell>
          <cell r="B35">
            <v>875000000</v>
          </cell>
          <cell r="E35">
            <v>3267912006.0951462</v>
          </cell>
          <cell r="F35">
            <v>1467222980.2444661</v>
          </cell>
        </row>
        <row r="36">
          <cell r="A36">
            <v>42185</v>
          </cell>
          <cell r="B36">
            <v>875000000</v>
          </cell>
          <cell r="E36">
            <v>3257443004.5876966</v>
          </cell>
          <cell r="F36">
            <v>1428726290.837132</v>
          </cell>
        </row>
        <row r="37">
          <cell r="A37">
            <v>42216</v>
          </cell>
          <cell r="B37">
            <v>875000000</v>
          </cell>
          <cell r="E37">
            <v>3246938757.4418383</v>
          </cell>
          <cell r="F37">
            <v>1391384502.1120179</v>
          </cell>
        </row>
        <row r="38">
          <cell r="A38">
            <v>42247</v>
          </cell>
          <cell r="B38">
            <v>875000000</v>
          </cell>
          <cell r="E38">
            <v>3236399145.9972553</v>
          </cell>
          <cell r="F38">
            <v>1355162967.0486574</v>
          </cell>
        </row>
        <row r="39">
          <cell r="A39">
            <v>42277</v>
          </cell>
          <cell r="B39">
            <v>575000000</v>
          </cell>
          <cell r="E39">
            <v>3225824051.1941423</v>
          </cell>
          <cell r="F39">
            <v>1320028078.0371976</v>
          </cell>
        </row>
        <row r="40">
          <cell r="A40">
            <v>42308</v>
          </cell>
          <cell r="B40">
            <v>575000000</v>
          </cell>
          <cell r="E40">
            <v>3215213353.5718589</v>
          </cell>
          <cell r="F40">
            <v>1285947235.6960816</v>
          </cell>
        </row>
        <row r="41">
          <cell r="A41">
            <v>42338</v>
          </cell>
          <cell r="B41">
            <v>575000000</v>
          </cell>
          <cell r="E41">
            <v>3204566933.2675805</v>
          </cell>
          <cell r="F41">
            <v>1252888818.6251993</v>
          </cell>
        </row>
        <row r="42">
          <cell r="A42">
            <v>42369</v>
          </cell>
          <cell r="B42">
            <v>575000000</v>
          </cell>
          <cell r="E42">
            <v>3193884670.0149446</v>
          </cell>
          <cell r="F42">
            <v>1220822154.0664432</v>
          </cell>
        </row>
        <row r="43">
          <cell r="A43">
            <v>42400</v>
          </cell>
          <cell r="B43">
            <v>575000000</v>
          </cell>
          <cell r="E43">
            <v>3183166443.1426911</v>
          </cell>
          <cell r="F43">
            <v>1189717489.4444499</v>
          </cell>
        </row>
        <row r="44">
          <cell r="A44">
            <v>42429</v>
          </cell>
          <cell r="B44">
            <v>575000000</v>
          </cell>
          <cell r="E44">
            <v>3172412131.5733013</v>
          </cell>
          <cell r="F44">
            <v>1159545964.7611165</v>
          </cell>
        </row>
        <row r="45">
          <cell r="A45">
            <v>42460</v>
          </cell>
          <cell r="B45">
            <v>575000000</v>
          </cell>
          <cell r="E45">
            <v>3136621613.8216276</v>
          </cell>
          <cell r="F45">
            <v>1105279585.8182828</v>
          </cell>
        </row>
        <row r="46">
          <cell r="A46">
            <v>42490</v>
          </cell>
          <cell r="B46">
            <v>575000000</v>
          </cell>
          <cell r="E46">
            <v>3125794767.9935236</v>
          </cell>
          <cell r="F46">
            <v>1076891198.2437344</v>
          </cell>
        </row>
        <row r="47">
          <cell r="A47">
            <v>42521</v>
          </cell>
          <cell r="B47">
            <v>575000000</v>
          </cell>
          <cell r="E47">
            <v>3114931471.7844648</v>
          </cell>
          <cell r="F47">
            <v>1049354462.2964224</v>
          </cell>
        </row>
        <row r="48">
          <cell r="A48">
            <v>42551</v>
          </cell>
          <cell r="B48">
            <v>575000000</v>
          </cell>
          <cell r="E48">
            <v>3104031602.478169</v>
          </cell>
          <cell r="F48">
            <v>1022643828.4275297</v>
          </cell>
        </row>
        <row r="49">
          <cell r="A49">
            <v>42582</v>
          </cell>
          <cell r="B49">
            <v>275000000</v>
          </cell>
          <cell r="E49">
            <v>3093095036.9452085</v>
          </cell>
          <cell r="F49">
            <v>996734513.57470381</v>
          </cell>
        </row>
        <row r="50">
          <cell r="A50">
            <v>42613</v>
          </cell>
          <cell r="B50">
            <v>275000000</v>
          </cell>
          <cell r="E50">
            <v>3082121651.6416206</v>
          </cell>
          <cell r="F50">
            <v>971602478.16746271</v>
          </cell>
        </row>
        <row r="51">
          <cell r="A51">
            <v>42643</v>
          </cell>
          <cell r="B51">
            <v>275000000</v>
          </cell>
          <cell r="E51">
            <v>3071111322.6075101</v>
          </cell>
          <cell r="F51">
            <v>947224403.82243884</v>
          </cell>
        </row>
        <row r="52">
          <cell r="A52">
            <v>42674</v>
          </cell>
          <cell r="B52">
            <v>275000000</v>
          </cell>
          <cell r="E52">
            <v>3060063925.465652</v>
          </cell>
          <cell r="F52">
            <v>923577671.7077657</v>
          </cell>
        </row>
        <row r="53">
          <cell r="A53">
            <v>42704</v>
          </cell>
          <cell r="B53">
            <v>275000000</v>
          </cell>
          <cell r="E53">
            <v>3048979335.4200826</v>
          </cell>
          <cell r="F53">
            <v>900640341.55653274</v>
          </cell>
        </row>
        <row r="54">
          <cell r="A54">
            <v>42735</v>
          </cell>
          <cell r="B54">
            <v>275000000</v>
          </cell>
          <cell r="E54">
            <v>3037857427.2546935</v>
          </cell>
          <cell r="F54">
            <v>878391131.30983675</v>
          </cell>
        </row>
        <row r="55">
          <cell r="A55">
            <v>42766</v>
          </cell>
          <cell r="B55">
            <v>275000000</v>
          </cell>
          <cell r="E55">
            <v>3026698075.3318138</v>
          </cell>
          <cell r="F55">
            <v>856809397.37054157</v>
          </cell>
        </row>
        <row r="56">
          <cell r="A56">
            <v>42794</v>
          </cell>
          <cell r="B56">
            <v>200000000</v>
          </cell>
          <cell r="E56">
            <v>2990501153.5907941</v>
          </cell>
          <cell r="F56">
            <v>810875115.44942534</v>
          </cell>
        </row>
        <row r="57">
          <cell r="A57">
            <v>42825</v>
          </cell>
          <cell r="B57">
            <v>200000000</v>
          </cell>
          <cell r="E57">
            <v>2979266535.5465794</v>
          </cell>
          <cell r="F57">
            <v>790568861.9859426</v>
          </cell>
        </row>
        <row r="58">
          <cell r="A58">
            <v>42855</v>
          </cell>
          <cell r="B58">
            <v>200000000</v>
          </cell>
          <cell r="E58">
            <v>2967994094.2882824</v>
          </cell>
          <cell r="F58">
            <v>770871796.12636435</v>
          </cell>
        </row>
        <row r="59">
          <cell r="A59">
            <v>42886</v>
          </cell>
          <cell r="B59">
            <v>200000000</v>
          </cell>
          <cell r="E59">
            <v>2956683702.4777493</v>
          </cell>
          <cell r="F59">
            <v>751765642.24257338</v>
          </cell>
        </row>
        <row r="60">
          <cell r="A60">
            <v>42916</v>
          </cell>
          <cell r="B60">
            <v>200000000</v>
          </cell>
          <cell r="E60">
            <v>2945335232.3481207</v>
          </cell>
          <cell r="F60">
            <v>733232672.97529614</v>
          </cell>
        </row>
        <row r="61">
          <cell r="A61">
            <v>42947</v>
          </cell>
          <cell r="B61">
            <v>200000000</v>
          </cell>
          <cell r="E61">
            <v>2933948555.7023892</v>
          </cell>
          <cell r="F61">
            <v>715255692.78603721</v>
          </cell>
        </row>
        <row r="62">
          <cell r="A62">
            <v>42978</v>
          </cell>
          <cell r="B62">
            <v>200000000</v>
          </cell>
          <cell r="E62">
            <v>2897523543.9119506</v>
          </cell>
          <cell r="F62">
            <v>672818022.00245607</v>
          </cell>
        </row>
        <row r="63">
          <cell r="A63">
            <v>43008</v>
          </cell>
          <cell r="B63">
            <v>0</v>
          </cell>
          <cell r="E63">
            <v>2886060067.9151506</v>
          </cell>
          <cell r="F63">
            <v>655903481.34238243</v>
          </cell>
        </row>
        <row r="64">
          <cell r="A64">
            <v>43039</v>
          </cell>
          <cell r="B64">
            <v>0</v>
          </cell>
          <cell r="E64">
            <v>2874557998.2158279</v>
          </cell>
          <cell r="F64">
            <v>639496376.90211093</v>
          </cell>
        </row>
        <row r="65">
          <cell r="A65">
            <v>43069</v>
          </cell>
          <cell r="B65">
            <v>0</v>
          </cell>
          <cell r="E65">
            <v>2863017204.8818507</v>
          </cell>
          <cell r="F65">
            <v>623581485.59504759</v>
          </cell>
        </row>
        <row r="66">
          <cell r="A66">
            <v>43100</v>
          </cell>
          <cell r="B66">
            <v>0</v>
          </cell>
          <cell r="E66">
            <v>2851437557.5436497</v>
          </cell>
          <cell r="F66">
            <v>608144041.02719617</v>
          </cell>
        </row>
      </sheetData>
      <sheetData sheetId="3"/>
      <sheetData sheetId="4"/>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72"/>
  <sheetViews>
    <sheetView tabSelected="1" workbookViewId="0">
      <pane ySplit="7" topLeftCell="A8" activePane="bottomLeft" state="frozen"/>
      <selection pane="bottomLeft" activeCell="A20" sqref="A20"/>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43555</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8809546838.5400009</v>
      </c>
      <c r="C7" s="263"/>
      <c r="D7" s="364"/>
      <c r="E7" s="450"/>
      <c r="F7" s="266"/>
      <c r="G7" s="55"/>
      <c r="H7" s="55"/>
      <c r="I7" s="67"/>
      <c r="J7" s="67"/>
      <c r="K7" s="67"/>
      <c r="L7" s="67"/>
      <c r="M7" s="67"/>
    </row>
    <row r="8" spans="1:13" x14ac:dyDescent="0.3">
      <c r="A8" s="265" t="s">
        <v>78</v>
      </c>
      <c r="B8" s="365">
        <v>1524671</v>
      </c>
      <c r="C8" s="263"/>
      <c r="D8" s="366"/>
      <c r="E8" s="267"/>
      <c r="F8" s="266"/>
      <c r="G8" s="55"/>
      <c r="H8" s="55"/>
      <c r="I8" s="67"/>
      <c r="J8" s="67"/>
      <c r="K8" s="67"/>
      <c r="L8" s="67"/>
      <c r="M8" s="67"/>
    </row>
    <row r="9" spans="1:13" x14ac:dyDescent="0.3">
      <c r="A9" s="265" t="s">
        <v>73</v>
      </c>
      <c r="B9" s="365">
        <v>5778</v>
      </c>
      <c r="C9" s="263"/>
      <c r="D9" s="364"/>
      <c r="E9" s="267"/>
      <c r="F9" s="266"/>
      <c r="G9" s="55"/>
      <c r="H9" s="55"/>
      <c r="I9" s="67"/>
      <c r="J9" s="67"/>
      <c r="K9" s="67"/>
      <c r="L9" s="67"/>
      <c r="M9" s="67"/>
    </row>
    <row r="10" spans="1:13" ht="13.5" customHeight="1" x14ac:dyDescent="0.3">
      <c r="A10" s="265" t="s">
        <v>79</v>
      </c>
      <c r="B10" s="338">
        <v>6.4000000000000003E-3</v>
      </c>
      <c r="C10" s="263"/>
      <c r="D10" s="268"/>
      <c r="E10" s="267"/>
      <c r="F10" s="266"/>
      <c r="G10" s="55"/>
      <c r="H10" s="55"/>
      <c r="I10" s="67"/>
      <c r="J10" s="67"/>
      <c r="K10" s="67"/>
      <c r="L10" s="67"/>
      <c r="M10" s="67"/>
    </row>
    <row r="11" spans="1:13" x14ac:dyDescent="0.3">
      <c r="A11" s="265" t="s">
        <v>74</v>
      </c>
      <c r="B11" s="365">
        <v>48</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5486</v>
      </c>
      <c r="C13" s="348"/>
      <c r="D13" s="349"/>
      <c r="E13" s="350"/>
      <c r="F13" s="351"/>
      <c r="G13" s="352"/>
      <c r="H13" s="55"/>
      <c r="I13" s="362"/>
      <c r="J13" s="362"/>
      <c r="K13" s="67"/>
      <c r="L13" s="67"/>
      <c r="M13" s="67"/>
    </row>
    <row r="14" spans="1:13" x14ac:dyDescent="0.3">
      <c r="A14" s="265" t="s">
        <v>196</v>
      </c>
      <c r="B14" s="338">
        <v>0.52090000000000003</v>
      </c>
      <c r="C14" s="348"/>
      <c r="D14" s="349"/>
      <c r="E14" s="350"/>
      <c r="F14" s="351"/>
      <c r="G14" s="352"/>
      <c r="H14" s="55"/>
      <c r="I14" s="362"/>
      <c r="J14" s="362"/>
      <c r="K14" s="67"/>
      <c r="L14" s="67"/>
      <c r="M14" s="67"/>
    </row>
    <row r="15" spans="1:13" x14ac:dyDescent="0.3">
      <c r="A15" s="265" t="s">
        <v>83</v>
      </c>
      <c r="B15" s="269">
        <v>1</v>
      </c>
      <c r="C15" s="339"/>
      <c r="D15" s="460"/>
      <c r="E15" s="267"/>
      <c r="F15" s="266"/>
      <c r="G15" s="332"/>
      <c r="H15" s="55"/>
      <c r="I15" s="362"/>
      <c r="J15" s="362"/>
      <c r="K15" s="67"/>
      <c r="L15" s="67"/>
      <c r="M15" s="67"/>
    </row>
    <row r="16" spans="1:13" x14ac:dyDescent="0.3">
      <c r="A16" s="265" t="s">
        <v>86</v>
      </c>
      <c r="B16" s="269">
        <v>1</v>
      </c>
      <c r="C16" s="339"/>
      <c r="D16" s="268"/>
      <c r="E16" s="267"/>
      <c r="F16" s="266"/>
      <c r="G16" s="332"/>
      <c r="H16" s="55"/>
      <c r="I16" s="362"/>
      <c r="J16" s="362"/>
      <c r="K16" s="67"/>
      <c r="L16" s="67"/>
      <c r="M16" s="67"/>
    </row>
    <row r="17" spans="1:13" x14ac:dyDescent="0.3">
      <c r="A17" s="265" t="s">
        <v>84</v>
      </c>
      <c r="B17" s="265">
        <v>1E-4</v>
      </c>
      <c r="C17" s="348"/>
      <c r="D17" s="349"/>
      <c r="E17" s="350"/>
      <c r="F17" s="266"/>
      <c r="G17" s="332"/>
      <c r="H17" s="55"/>
      <c r="I17" s="362"/>
      <c r="J17" s="362"/>
      <c r="K17" s="67"/>
      <c r="L17" s="67"/>
      <c r="M17" s="67"/>
    </row>
    <row r="18" spans="1:13" x14ac:dyDescent="0.3">
      <c r="A18" s="265" t="s">
        <v>49</v>
      </c>
      <c r="B18" s="367">
        <f>256267000+339787000+1970000</f>
        <v>598024000</v>
      </c>
      <c r="C18" s="348"/>
      <c r="D18" s="348"/>
      <c r="E18" s="352"/>
      <c r="F18" s="186"/>
      <c r="G18" s="456"/>
      <c r="H18" s="368"/>
      <c r="I18" s="368"/>
      <c r="J18" s="189"/>
      <c r="K18" s="67"/>
      <c r="L18" s="67"/>
      <c r="M18" s="67"/>
    </row>
    <row r="19" spans="1:13" x14ac:dyDescent="0.3">
      <c r="A19" s="262" t="s">
        <v>80</v>
      </c>
      <c r="B19" s="369">
        <f>+B7+B18</f>
        <v>9407570838.5400009</v>
      </c>
      <c r="C19" s="348"/>
      <c r="D19" s="348" t="s">
        <v>234</v>
      </c>
      <c r="E19" s="435" t="s">
        <v>235</v>
      </c>
      <c r="F19" s="186"/>
      <c r="G19" s="457"/>
      <c r="H19" s="368"/>
      <c r="I19" s="368"/>
      <c r="J19" s="189"/>
      <c r="K19" s="67"/>
      <c r="L19" s="67"/>
      <c r="M19" s="67"/>
    </row>
    <row r="20" spans="1:13" x14ac:dyDescent="0.3">
      <c r="A20" s="470" t="s">
        <v>283</v>
      </c>
      <c r="B20" s="471">
        <f>($B$19-D20)/E20-1</f>
        <v>0.17226390647283885</v>
      </c>
      <c r="C20" s="348"/>
      <c r="D20" s="436">
        <v>973573.83</v>
      </c>
      <c r="E20" s="435">
        <f>150000000+7874300000</f>
        <v>8024300000</v>
      </c>
      <c r="F20" s="304"/>
      <c r="G20" s="457"/>
      <c r="H20" s="368"/>
      <c r="I20" s="368"/>
      <c r="J20" s="189"/>
      <c r="K20" s="67"/>
      <c r="L20" s="67"/>
      <c r="M20" s="67"/>
    </row>
    <row r="21" spans="1:13" x14ac:dyDescent="0.3">
      <c r="A21" s="472" t="s">
        <v>198</v>
      </c>
      <c r="B21" s="473">
        <f>($B$19-D21)/E20-1</f>
        <v>0.12989940122752142</v>
      </c>
      <c r="C21" s="348"/>
      <c r="D21" s="455">
        <v>340919073.26999998</v>
      </c>
      <c r="E21" s="435"/>
      <c r="F21" s="186"/>
      <c r="G21" s="457"/>
      <c r="H21" s="368"/>
      <c r="I21" s="368"/>
      <c r="J21" s="189"/>
      <c r="K21" s="67"/>
      <c r="L21" s="67"/>
      <c r="M21" s="67"/>
    </row>
    <row r="22" spans="1:13" x14ac:dyDescent="0.3">
      <c r="A22" s="474" t="s">
        <v>233</v>
      </c>
      <c r="B22" s="475">
        <f>($B$19-D22)/E20-1</f>
        <v>6.9993463434816938E-2</v>
      </c>
      <c r="C22" s="348"/>
      <c r="D22" s="455">
        <v>821622289.89999998</v>
      </c>
      <c r="E22" s="435"/>
      <c r="F22" s="186"/>
      <c r="G22" s="457"/>
      <c r="H22" s="368"/>
      <c r="I22" s="368"/>
      <c r="J22" s="189"/>
      <c r="K22" s="67"/>
      <c r="L22" s="67"/>
      <c r="M22" s="67"/>
    </row>
    <row r="23" spans="1:13" s="54" customFormat="1" x14ac:dyDescent="0.3">
      <c r="A23" s="259"/>
      <c r="B23" s="371"/>
      <c r="C23" s="340"/>
      <c r="D23" s="340"/>
      <c r="E23" s="318"/>
      <c r="F23" s="186"/>
      <c r="G23" s="45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2181487743.8299999</v>
      </c>
      <c r="C28" s="373">
        <v>2468</v>
      </c>
      <c r="D28" s="196">
        <f t="shared" ref="D28:D39" si="0">B28/$B$40</f>
        <v>0.24762769116413894</v>
      </c>
      <c r="E28" s="355"/>
      <c r="F28" s="186"/>
      <c r="G28" s="186"/>
      <c r="H28" s="368"/>
      <c r="I28" s="374"/>
      <c r="J28" s="189"/>
      <c r="K28" s="67"/>
      <c r="L28" s="67"/>
      <c r="M28" s="67"/>
    </row>
    <row r="29" spans="1:13" ht="14.5" x14ac:dyDescent="0.35">
      <c r="A29" s="6" t="s">
        <v>7</v>
      </c>
      <c r="B29" s="372">
        <v>1357372810.3399999</v>
      </c>
      <c r="C29" s="373">
        <v>788</v>
      </c>
      <c r="D29" s="196">
        <f t="shared" si="0"/>
        <v>0.15407975406882066</v>
      </c>
      <c r="E29" s="355"/>
      <c r="F29" s="257"/>
      <c r="G29" s="257"/>
      <c r="H29" s="257"/>
      <c r="I29" s="257"/>
      <c r="J29" s="189"/>
      <c r="K29" s="67"/>
      <c r="L29" s="67"/>
      <c r="M29" s="67"/>
    </row>
    <row r="30" spans="1:13" ht="14.5" x14ac:dyDescent="0.35">
      <c r="A30" s="6" t="s">
        <v>8</v>
      </c>
      <c r="B30" s="372">
        <v>1927159862.0799999</v>
      </c>
      <c r="C30" s="373">
        <v>993</v>
      </c>
      <c r="D30" s="196">
        <f t="shared" si="0"/>
        <v>0.21875811519033669</v>
      </c>
      <c r="E30" s="355"/>
      <c r="F30" s="259"/>
      <c r="G30" s="259"/>
      <c r="H30" s="259"/>
      <c r="I30" s="259"/>
      <c r="J30" s="189"/>
      <c r="K30" s="67"/>
      <c r="L30" s="67"/>
      <c r="M30" s="67"/>
    </row>
    <row r="31" spans="1:13" ht="14.5" x14ac:dyDescent="0.35">
      <c r="A31" s="6" t="s">
        <v>9</v>
      </c>
      <c r="B31" s="372">
        <v>2079117104.3099999</v>
      </c>
      <c r="C31" s="373">
        <v>970</v>
      </c>
      <c r="D31" s="196">
        <f t="shared" si="0"/>
        <v>0.23600727056859264</v>
      </c>
      <c r="E31" s="355"/>
      <c r="F31" s="316"/>
      <c r="G31" s="317"/>
      <c r="H31" s="317"/>
      <c r="I31" s="176"/>
      <c r="J31" s="189"/>
      <c r="K31" s="67"/>
      <c r="L31" s="67"/>
      <c r="M31" s="67"/>
    </row>
    <row r="32" spans="1:13" ht="14.5" x14ac:dyDescent="0.35">
      <c r="A32" s="6" t="s">
        <v>140</v>
      </c>
      <c r="B32" s="372">
        <v>1225689060.28</v>
      </c>
      <c r="C32" s="373">
        <v>541</v>
      </c>
      <c r="D32" s="196">
        <f t="shared" si="0"/>
        <v>0.13913190800210701</v>
      </c>
      <c r="E32" s="355"/>
      <c r="F32" s="304"/>
      <c r="G32" s="368"/>
      <c r="H32" s="368"/>
      <c r="I32" s="263"/>
      <c r="J32" s="189"/>
      <c r="K32" s="67"/>
      <c r="L32" s="67"/>
      <c r="M32" s="67"/>
    </row>
    <row r="33" spans="1:15" ht="14.5" x14ac:dyDescent="0.35">
      <c r="A33" s="6" t="s">
        <v>141</v>
      </c>
      <c r="B33" s="372">
        <v>34301393.699999996</v>
      </c>
      <c r="C33" s="373">
        <v>16</v>
      </c>
      <c r="D33" s="196">
        <f t="shared" si="0"/>
        <v>3.8936615388589883E-3</v>
      </c>
      <c r="E33" s="355"/>
      <c r="F33" s="304"/>
      <c r="G33" s="368"/>
      <c r="H33" s="368"/>
      <c r="I33" s="263"/>
      <c r="J33" s="345"/>
      <c r="K33" s="67"/>
      <c r="L33" s="67"/>
      <c r="M33" s="67"/>
    </row>
    <row r="34" spans="1:15" ht="14.5" x14ac:dyDescent="0.35">
      <c r="A34" s="6" t="s">
        <v>10</v>
      </c>
      <c r="B34" s="372">
        <v>4418864</v>
      </c>
      <c r="C34" s="373">
        <v>2</v>
      </c>
      <c r="D34" s="196">
        <f t="shared" si="0"/>
        <v>5.0159946714493377E-4</v>
      </c>
      <c r="E34" s="355"/>
      <c r="F34" s="304"/>
      <c r="G34" s="368"/>
      <c r="H34" s="368"/>
      <c r="I34" s="263"/>
      <c r="J34" s="362"/>
      <c r="K34" s="67"/>
      <c r="L34" s="67"/>
      <c r="M34" s="67"/>
    </row>
    <row r="35" spans="1:15" ht="14.5" x14ac:dyDescent="0.35">
      <c r="A35" s="6" t="s">
        <v>11</v>
      </c>
      <c r="B35" s="375"/>
      <c r="C35" s="376"/>
      <c r="D35" s="196">
        <f t="shared" si="0"/>
        <v>0</v>
      </c>
      <c r="E35" s="355"/>
      <c r="F35" s="304"/>
      <c r="G35" s="368"/>
      <c r="H35" s="368"/>
      <c r="I35" s="263"/>
      <c r="J35" s="67"/>
      <c r="K35" s="67"/>
      <c r="L35" s="67"/>
      <c r="M35" s="67"/>
    </row>
    <row r="36" spans="1:15" ht="14.5" x14ac:dyDescent="0.35">
      <c r="A36" s="6" t="s">
        <v>12</v>
      </c>
      <c r="B36" s="377"/>
      <c r="C36" s="378"/>
      <c r="D36" s="196">
        <f t="shared" si="0"/>
        <v>0</v>
      </c>
      <c r="E36" s="355"/>
      <c r="F36" s="304"/>
      <c r="G36" s="368"/>
      <c r="H36" s="368"/>
      <c r="I36" s="263"/>
      <c r="J36" s="67"/>
      <c r="K36" s="67"/>
      <c r="L36" s="67"/>
      <c r="M36" s="67"/>
    </row>
    <row r="37" spans="1:15" ht="14.5" x14ac:dyDescent="0.35">
      <c r="A37" s="6" t="s">
        <v>13</v>
      </c>
      <c r="B37" s="377"/>
      <c r="C37" s="378"/>
      <c r="D37" s="196">
        <f t="shared" si="0"/>
        <v>0</v>
      </c>
      <c r="E37" s="355"/>
      <c r="F37" s="304"/>
      <c r="G37" s="368"/>
      <c r="H37" s="368"/>
      <c r="I37" s="263"/>
      <c r="J37" s="67"/>
      <c r="K37" s="67"/>
      <c r="L37" s="67"/>
      <c r="M37" s="67"/>
    </row>
    <row r="38" spans="1:15" ht="14.5" x14ac:dyDescent="0.35">
      <c r="A38" s="6" t="s">
        <v>14</v>
      </c>
      <c r="B38" s="377"/>
      <c r="C38" s="378"/>
      <c r="D38" s="196">
        <f t="shared" si="0"/>
        <v>0</v>
      </c>
      <c r="E38" s="355"/>
      <c r="F38" s="304"/>
      <c r="G38" s="368"/>
      <c r="H38" s="368"/>
      <c r="I38" s="263"/>
      <c r="J38" s="67"/>
      <c r="K38" s="67"/>
      <c r="L38" s="67"/>
      <c r="M38" s="67"/>
      <c r="O38" s="54"/>
    </row>
    <row r="39" spans="1:15" ht="15" thickBot="1" x14ac:dyDescent="0.4">
      <c r="A39" s="4" t="s">
        <v>15</v>
      </c>
      <c r="B39" s="379"/>
      <c r="C39" s="380"/>
      <c r="D39" s="192">
        <f t="shared" si="0"/>
        <v>0</v>
      </c>
      <c r="E39" s="355"/>
      <c r="F39" s="304"/>
      <c r="G39" s="374"/>
      <c r="H39" s="374"/>
      <c r="I39" s="263"/>
      <c r="J39" s="67"/>
      <c r="K39" s="67"/>
      <c r="L39" s="67"/>
      <c r="M39" s="67"/>
      <c r="O39" s="54"/>
    </row>
    <row r="40" spans="1:15" ht="15" thickTop="1" x14ac:dyDescent="0.35">
      <c r="A40" s="1" t="s">
        <v>1</v>
      </c>
      <c r="B40" s="18">
        <f>SUM(B28:B39)</f>
        <v>8809546838.5400009</v>
      </c>
      <c r="C40" s="381">
        <f>SUM(C28:C39)</f>
        <v>5778</v>
      </c>
      <c r="D40" s="344">
        <f>SUM(D28:D39)</f>
        <v>0.99999999999999978</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234924920.05000004</v>
      </c>
      <c r="C46" s="373">
        <v>846</v>
      </c>
      <c r="D46" s="196">
        <f>B46/$B$40</f>
        <v>2.6667083376213024E-2</v>
      </c>
      <c r="E46" s="384"/>
      <c r="O46" s="54"/>
    </row>
    <row r="47" spans="1:15" x14ac:dyDescent="0.3">
      <c r="A47" s="6" t="s">
        <v>221</v>
      </c>
      <c r="B47" s="372">
        <v>828167870.56000054</v>
      </c>
      <c r="C47" s="373">
        <v>1085</v>
      </c>
      <c r="D47" s="196">
        <f t="shared" ref="D47:D49" si="1">B47/$B$40</f>
        <v>9.4007999019533231E-2</v>
      </c>
      <c r="E47" s="384"/>
      <c r="O47" s="54"/>
    </row>
    <row r="48" spans="1:15" x14ac:dyDescent="0.3">
      <c r="A48" s="6" t="s">
        <v>222</v>
      </c>
      <c r="B48" s="372">
        <v>3395383182.0100021</v>
      </c>
      <c r="C48" s="373">
        <v>2274</v>
      </c>
      <c r="D48" s="196">
        <f t="shared" si="1"/>
        <v>0.38542086718420993</v>
      </c>
      <c r="E48" s="384"/>
      <c r="O48" s="54"/>
    </row>
    <row r="49" spans="1:15" x14ac:dyDescent="0.3">
      <c r="A49" s="6" t="s">
        <v>223</v>
      </c>
      <c r="B49" s="372">
        <v>2813862763.5699997</v>
      </c>
      <c r="C49" s="373">
        <v>1160</v>
      </c>
      <c r="D49" s="196">
        <f t="shared" si="1"/>
        <v>0.31941061386493963</v>
      </c>
      <c r="E49" s="384"/>
      <c r="O49" s="54"/>
    </row>
    <row r="50" spans="1:15" ht="14" thickBot="1" x14ac:dyDescent="0.35">
      <c r="A50" s="4" t="s">
        <v>224</v>
      </c>
      <c r="B50" s="379">
        <v>1537208102.3499994</v>
      </c>
      <c r="C50" s="380">
        <v>413</v>
      </c>
      <c r="D50" s="192">
        <f>B50/$B$40</f>
        <v>0.17449343655510433</v>
      </c>
      <c r="E50" s="384"/>
      <c r="O50" s="54"/>
    </row>
    <row r="51" spans="1:15" ht="14" thickTop="1" x14ac:dyDescent="0.3">
      <c r="A51" s="1" t="s">
        <v>1</v>
      </c>
      <c r="B51" s="18">
        <f>SUM(B46:B50)</f>
        <v>8809546838.5400009</v>
      </c>
      <c r="C51" s="381">
        <f>SUM(C46:C50)</f>
        <v>5778</v>
      </c>
      <c r="D51" s="344">
        <f>SUM(D46:D50)</f>
        <v>1.0000000000000002</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461">
        <f>SUM(C56:N56)</f>
        <v>247472019.55999997</v>
      </c>
      <c r="C56" s="463">
        <v>101760323.57000001</v>
      </c>
      <c r="D56" s="463">
        <v>47445409.629999995</v>
      </c>
      <c r="E56" s="463">
        <v>52692819.079999998</v>
      </c>
      <c r="F56" s="463">
        <v>32120782.280000001</v>
      </c>
      <c r="G56" s="463">
        <v>13452685</v>
      </c>
      <c r="H56" s="463">
        <v>0</v>
      </c>
      <c r="I56" s="463">
        <v>0</v>
      </c>
      <c r="J56" s="357">
        <v>0</v>
      </c>
      <c r="K56" s="357">
        <v>0</v>
      </c>
      <c r="L56" s="357">
        <v>0</v>
      </c>
      <c r="M56" s="357">
        <v>0</v>
      </c>
      <c r="N56" s="357">
        <v>0</v>
      </c>
      <c r="O56" s="54"/>
    </row>
    <row r="57" spans="1:15" ht="14.5" x14ac:dyDescent="0.35">
      <c r="A57" s="154" t="s">
        <v>29</v>
      </c>
      <c r="B57" s="461">
        <f t="shared" ref="B57:B74" si="2">SUM(C57:N57)</f>
        <v>630760598.05000007</v>
      </c>
      <c r="C57" s="463">
        <v>132294488.85000001</v>
      </c>
      <c r="D57" s="463">
        <v>122601708.11999999</v>
      </c>
      <c r="E57" s="463">
        <f>(-131830676.92+1925512126-1927159862)*-1</f>
        <v>133478412.92000008</v>
      </c>
      <c r="F57" s="463">
        <v>146088305.56</v>
      </c>
      <c r="G57" s="463">
        <v>94381813.599999994</v>
      </c>
      <c r="H57" s="463">
        <v>1915869</v>
      </c>
      <c r="I57" s="463">
        <v>0</v>
      </c>
      <c r="J57" s="357">
        <v>0</v>
      </c>
      <c r="K57" s="357">
        <v>0</v>
      </c>
      <c r="L57" s="357">
        <v>0</v>
      </c>
      <c r="M57" s="357">
        <v>0</v>
      </c>
      <c r="N57" s="357">
        <v>0</v>
      </c>
      <c r="O57" s="54"/>
    </row>
    <row r="58" spans="1:15" ht="14.5" x14ac:dyDescent="0.35">
      <c r="A58" s="154" t="s">
        <v>30</v>
      </c>
      <c r="B58" s="461">
        <f t="shared" si="2"/>
        <v>66974359.789999999</v>
      </c>
      <c r="C58" s="463">
        <v>21661159.789999999</v>
      </c>
      <c r="D58" s="463">
        <v>9847248</v>
      </c>
      <c r="E58" s="463">
        <v>1155091</v>
      </c>
      <c r="F58" s="463">
        <v>24857345</v>
      </c>
      <c r="G58" s="463">
        <v>9453516</v>
      </c>
      <c r="H58" s="463">
        <v>0</v>
      </c>
      <c r="I58" s="463">
        <v>0</v>
      </c>
      <c r="J58" s="357">
        <v>0</v>
      </c>
      <c r="K58" s="357">
        <v>0</v>
      </c>
      <c r="L58" s="357">
        <v>0</v>
      </c>
      <c r="M58" s="357">
        <v>0</v>
      </c>
      <c r="N58" s="357">
        <v>0</v>
      </c>
      <c r="O58" s="54"/>
    </row>
    <row r="59" spans="1:15" ht="14.5" x14ac:dyDescent="0.35">
      <c r="A59" s="154" t="s">
        <v>142</v>
      </c>
      <c r="B59" s="461">
        <f t="shared" si="2"/>
        <v>5723139.9400000004</v>
      </c>
      <c r="C59" s="463">
        <v>284252</v>
      </c>
      <c r="D59" s="463">
        <v>0</v>
      </c>
      <c r="E59" s="463">
        <v>1959891.2</v>
      </c>
      <c r="F59" s="463">
        <v>3478996.74</v>
      </c>
      <c r="G59" s="463">
        <v>0</v>
      </c>
      <c r="H59" s="463">
        <v>0</v>
      </c>
      <c r="I59" s="463">
        <v>0</v>
      </c>
      <c r="J59" s="357">
        <v>0</v>
      </c>
      <c r="K59" s="357">
        <v>0</v>
      </c>
      <c r="L59" s="357">
        <v>0</v>
      </c>
      <c r="M59" s="357">
        <v>0</v>
      </c>
      <c r="N59" s="357">
        <v>0</v>
      </c>
      <c r="O59" s="54"/>
    </row>
    <row r="60" spans="1:15" ht="14.5" x14ac:dyDescent="0.35">
      <c r="A60" s="154" t="s">
        <v>31</v>
      </c>
      <c r="B60" s="461">
        <f t="shared" si="2"/>
        <v>23428260.310000002</v>
      </c>
      <c r="C60" s="463">
        <v>4578530.3100000005</v>
      </c>
      <c r="D60" s="463">
        <v>0</v>
      </c>
      <c r="E60" s="463">
        <v>9438870</v>
      </c>
      <c r="F60" s="463">
        <v>6383304</v>
      </c>
      <c r="G60" s="463">
        <v>3027556</v>
      </c>
      <c r="H60" s="463">
        <v>0</v>
      </c>
      <c r="I60" s="463">
        <v>0</v>
      </c>
      <c r="J60" s="357">
        <v>0</v>
      </c>
      <c r="K60" s="357">
        <v>0</v>
      </c>
      <c r="L60" s="357">
        <v>0</v>
      </c>
      <c r="M60" s="357">
        <v>0</v>
      </c>
      <c r="N60" s="357">
        <v>0</v>
      </c>
      <c r="O60" s="54"/>
    </row>
    <row r="61" spans="1:15" ht="14.5" x14ac:dyDescent="0.35">
      <c r="A61" s="154" t="s">
        <v>32</v>
      </c>
      <c r="B61" s="461">
        <f t="shared" si="2"/>
        <v>956811257.37999988</v>
      </c>
      <c r="C61" s="463">
        <v>200730395.50000006</v>
      </c>
      <c r="D61" s="463">
        <v>133306793.63</v>
      </c>
      <c r="E61" s="463">
        <v>232331741.47999996</v>
      </c>
      <c r="F61" s="463">
        <v>260303973.18000001</v>
      </c>
      <c r="G61" s="463">
        <f>(-122069451.59+1221585536-1225689060)*-1</f>
        <v>126172975.58999991</v>
      </c>
      <c r="H61" s="463">
        <v>3965378</v>
      </c>
      <c r="I61" s="463">
        <v>0</v>
      </c>
      <c r="J61" s="357">
        <v>0</v>
      </c>
      <c r="K61" s="357">
        <v>0</v>
      </c>
      <c r="L61" s="357">
        <v>0</v>
      </c>
      <c r="M61" s="357">
        <v>0</v>
      </c>
      <c r="N61" s="357">
        <v>0</v>
      </c>
      <c r="O61" s="54"/>
    </row>
    <row r="62" spans="1:15" ht="14.5" x14ac:dyDescent="0.35">
      <c r="A62" s="154" t="s">
        <v>143</v>
      </c>
      <c r="B62" s="461">
        <f t="shared" si="2"/>
        <v>12297749.17</v>
      </c>
      <c r="C62" s="463">
        <v>1437349</v>
      </c>
      <c r="D62" s="463">
        <v>2141202</v>
      </c>
      <c r="E62" s="463">
        <v>2299785.17</v>
      </c>
      <c r="F62" s="463">
        <v>3026307</v>
      </c>
      <c r="G62" s="463">
        <v>3393106</v>
      </c>
      <c r="H62" s="463">
        <v>0</v>
      </c>
      <c r="I62" s="463">
        <v>0</v>
      </c>
      <c r="J62" s="357">
        <v>0</v>
      </c>
      <c r="K62" s="357">
        <v>0</v>
      </c>
      <c r="L62" s="357">
        <v>0</v>
      </c>
      <c r="M62" s="357">
        <v>0</v>
      </c>
      <c r="N62" s="357">
        <v>0</v>
      </c>
      <c r="O62" s="54"/>
    </row>
    <row r="63" spans="1:15" ht="14.5" x14ac:dyDescent="0.35">
      <c r="A63" s="154" t="s">
        <v>33</v>
      </c>
      <c r="B63" s="461">
        <f t="shared" si="2"/>
        <v>2169667.89</v>
      </c>
      <c r="C63" s="463">
        <v>484364.89</v>
      </c>
      <c r="D63" s="463">
        <v>0</v>
      </c>
      <c r="E63" s="463">
        <v>0</v>
      </c>
      <c r="F63" s="463">
        <v>1685303</v>
      </c>
      <c r="G63" s="463">
        <v>0</v>
      </c>
      <c r="H63" s="463">
        <v>0</v>
      </c>
      <c r="I63" s="463">
        <v>0</v>
      </c>
      <c r="J63" s="357">
        <v>0</v>
      </c>
      <c r="K63" s="357">
        <v>0</v>
      </c>
      <c r="L63" s="357">
        <v>0</v>
      </c>
      <c r="M63" s="357">
        <v>0</v>
      </c>
      <c r="N63" s="357">
        <v>0</v>
      </c>
      <c r="O63" s="54"/>
    </row>
    <row r="64" spans="1:15" ht="14.5" x14ac:dyDescent="0.35">
      <c r="A64" s="154" t="s">
        <v>34</v>
      </c>
      <c r="B64" s="461">
        <f t="shared" si="2"/>
        <v>18587580.859999999</v>
      </c>
      <c r="C64" s="463">
        <v>6843183.8599999994</v>
      </c>
      <c r="D64" s="463">
        <v>0</v>
      </c>
      <c r="E64" s="463">
        <v>2823360</v>
      </c>
      <c r="F64" s="463">
        <v>8921037</v>
      </c>
      <c r="G64" s="463">
        <v>0</v>
      </c>
      <c r="H64" s="463">
        <v>0</v>
      </c>
      <c r="I64" s="463">
        <v>0</v>
      </c>
      <c r="J64" s="357">
        <v>0</v>
      </c>
      <c r="K64" s="357">
        <v>0</v>
      </c>
      <c r="L64" s="357">
        <v>0</v>
      </c>
      <c r="M64" s="357">
        <v>0</v>
      </c>
      <c r="N64" s="357">
        <v>0</v>
      </c>
      <c r="O64" s="54"/>
    </row>
    <row r="65" spans="1:15" ht="14.5" x14ac:dyDescent="0.35">
      <c r="A65" s="154" t="s">
        <v>35</v>
      </c>
      <c r="B65" s="461">
        <f t="shared" si="2"/>
        <v>339352135.69</v>
      </c>
      <c r="C65" s="463">
        <v>140437205.27000001</v>
      </c>
      <c r="D65" s="463">
        <v>65318548.230000004</v>
      </c>
      <c r="E65" s="463">
        <v>75834897.680000007</v>
      </c>
      <c r="F65" s="463">
        <v>32767257</v>
      </c>
      <c r="G65" s="463">
        <v>24994227.509999998</v>
      </c>
      <c r="H65" s="463">
        <v>0</v>
      </c>
      <c r="I65" s="463">
        <v>0</v>
      </c>
      <c r="J65" s="357">
        <v>0</v>
      </c>
      <c r="K65" s="357">
        <v>0</v>
      </c>
      <c r="L65" s="357">
        <v>0</v>
      </c>
      <c r="M65" s="357">
        <v>0</v>
      </c>
      <c r="N65" s="357">
        <v>0</v>
      </c>
      <c r="O65" s="54"/>
    </row>
    <row r="66" spans="1:15" ht="14.5" x14ac:dyDescent="0.35">
      <c r="A66" s="154" t="s">
        <v>36</v>
      </c>
      <c r="B66" s="461">
        <f t="shared" si="2"/>
        <v>3562718203.2500005</v>
      </c>
      <c r="C66" s="463">
        <v>851446532.58000016</v>
      </c>
      <c r="D66" s="463">
        <v>488761909.55000001</v>
      </c>
      <c r="E66" s="463">
        <v>765467160.18000007</v>
      </c>
      <c r="F66" s="463">
        <v>847226236.20000005</v>
      </c>
      <c r="G66" s="463">
        <v>590784633.07000005</v>
      </c>
      <c r="H66" s="463">
        <v>17606860.370000001</v>
      </c>
      <c r="I66" s="463">
        <v>1424871.3</v>
      </c>
      <c r="J66" s="357">
        <v>0</v>
      </c>
      <c r="K66" s="357">
        <v>0</v>
      </c>
      <c r="L66" s="357">
        <v>0</v>
      </c>
      <c r="M66" s="357">
        <v>0</v>
      </c>
      <c r="N66" s="357">
        <v>0</v>
      </c>
      <c r="O66" s="54"/>
    </row>
    <row r="67" spans="1:15" ht="14.5" x14ac:dyDescent="0.35">
      <c r="A67" s="154" t="s">
        <v>37</v>
      </c>
      <c r="B67" s="461">
        <f t="shared" si="2"/>
        <v>330626326.44</v>
      </c>
      <c r="C67" s="463">
        <v>88829554.87999998</v>
      </c>
      <c r="D67" s="463">
        <v>54629795.550000004</v>
      </c>
      <c r="E67" s="463">
        <v>56721034.310000002</v>
      </c>
      <c r="F67" s="463">
        <v>82876288.700000003</v>
      </c>
      <c r="G67" s="463">
        <v>47569653</v>
      </c>
      <c r="H67" s="463">
        <v>0</v>
      </c>
      <c r="I67" s="463">
        <v>0</v>
      </c>
      <c r="J67" s="357">
        <v>0</v>
      </c>
      <c r="K67" s="357">
        <v>0</v>
      </c>
      <c r="L67" s="357">
        <v>0</v>
      </c>
      <c r="M67" s="357">
        <v>0</v>
      </c>
      <c r="N67" s="357">
        <v>0</v>
      </c>
      <c r="O67" s="54"/>
    </row>
    <row r="68" spans="1:15" ht="14.5" x14ac:dyDescent="0.35">
      <c r="A68" s="154" t="s">
        <v>38</v>
      </c>
      <c r="B68" s="461">
        <f t="shared" si="2"/>
        <v>22582401.600000001</v>
      </c>
      <c r="C68" s="463">
        <v>13119102.6</v>
      </c>
      <c r="D68" s="463">
        <v>8156008</v>
      </c>
      <c r="E68" s="463">
        <v>0</v>
      </c>
      <c r="F68" s="463">
        <v>0</v>
      </c>
      <c r="G68" s="463">
        <v>1307291</v>
      </c>
      <c r="H68" s="463">
        <v>0</v>
      </c>
      <c r="I68" s="463">
        <v>0</v>
      </c>
      <c r="J68" s="357">
        <v>0</v>
      </c>
      <c r="K68" s="357">
        <v>0</v>
      </c>
      <c r="L68" s="357">
        <v>0</v>
      </c>
      <c r="M68" s="357">
        <v>0</v>
      </c>
      <c r="N68" s="357">
        <v>0</v>
      </c>
      <c r="O68" s="54"/>
    </row>
    <row r="69" spans="1:15" ht="14.5" x14ac:dyDescent="0.35">
      <c r="A69" s="154" t="s">
        <v>39</v>
      </c>
      <c r="B69" s="461">
        <f t="shared" si="2"/>
        <v>15033927.59</v>
      </c>
      <c r="C69" s="463">
        <v>2418992.59</v>
      </c>
      <c r="D69" s="463">
        <v>3713203</v>
      </c>
      <c r="E69" s="463">
        <v>8901732</v>
      </c>
      <c r="F69" s="463">
        <v>0</v>
      </c>
      <c r="G69" s="463">
        <v>0</v>
      </c>
      <c r="H69" s="463">
        <v>0</v>
      </c>
      <c r="I69" s="463">
        <v>0</v>
      </c>
      <c r="J69" s="357">
        <v>0</v>
      </c>
      <c r="K69" s="357">
        <v>0</v>
      </c>
      <c r="L69" s="357">
        <v>0</v>
      </c>
      <c r="M69" s="357">
        <v>0</v>
      </c>
      <c r="N69" s="357">
        <v>0</v>
      </c>
      <c r="O69" s="54"/>
    </row>
    <row r="70" spans="1:15" ht="14.5" x14ac:dyDescent="0.35">
      <c r="A70" s="154" t="s">
        <v>267</v>
      </c>
      <c r="B70" s="461">
        <f t="shared" si="2"/>
        <v>29687605.199999999</v>
      </c>
      <c r="C70" s="463">
        <v>5037715.2</v>
      </c>
      <c r="D70" s="463">
        <v>7422686</v>
      </c>
      <c r="E70" s="463">
        <v>8775152</v>
      </c>
      <c r="F70" s="463">
        <v>6652052</v>
      </c>
      <c r="G70" s="463">
        <v>1800000</v>
      </c>
      <c r="H70" s="463">
        <v>0</v>
      </c>
      <c r="I70" s="463">
        <v>0</v>
      </c>
      <c r="J70" s="357">
        <v>0</v>
      </c>
      <c r="K70" s="357">
        <v>0</v>
      </c>
      <c r="L70" s="357">
        <v>0</v>
      </c>
      <c r="M70" s="357">
        <v>0</v>
      </c>
      <c r="N70" s="357">
        <v>0</v>
      </c>
      <c r="O70" s="54"/>
    </row>
    <row r="71" spans="1:15" ht="14.5" x14ac:dyDescent="0.35">
      <c r="A71" s="154" t="s">
        <v>40</v>
      </c>
      <c r="B71" s="461">
        <f t="shared" si="2"/>
        <v>2471179863.2799997</v>
      </c>
      <c r="C71" s="463">
        <v>589727313.80999994</v>
      </c>
      <c r="D71" s="463">
        <v>397021785.18000007</v>
      </c>
      <c r="E71" s="463">
        <v>554189609.25999999</v>
      </c>
      <c r="F71" s="463">
        <f>(-607557833.73+2077307665-2079117104)*-1</f>
        <v>609367272.73000002</v>
      </c>
      <c r="G71" s="463">
        <v>307066602.96999997</v>
      </c>
      <c r="H71" s="463">
        <v>10813286.33</v>
      </c>
      <c r="I71" s="463">
        <v>2993993</v>
      </c>
      <c r="J71" s="357">
        <v>0</v>
      </c>
      <c r="K71" s="357">
        <v>0</v>
      </c>
      <c r="L71" s="357">
        <v>0</v>
      </c>
      <c r="M71" s="357">
        <v>0</v>
      </c>
      <c r="N71" s="357">
        <v>0</v>
      </c>
      <c r="O71" s="54"/>
    </row>
    <row r="72" spans="1:15" ht="14.5" x14ac:dyDescent="0.35">
      <c r="A72" s="154" t="s">
        <v>41</v>
      </c>
      <c r="B72" s="461">
        <f t="shared" si="2"/>
        <v>42225185.390000001</v>
      </c>
      <c r="C72" s="463">
        <v>10833381.469999999</v>
      </c>
      <c r="D72" s="463">
        <v>12702188</v>
      </c>
      <c r="E72" s="463">
        <v>16224483</v>
      </c>
      <c r="F72" s="463">
        <v>2465132.92</v>
      </c>
      <c r="G72" s="463">
        <v>0</v>
      </c>
      <c r="H72" s="463">
        <v>0</v>
      </c>
      <c r="I72" s="463">
        <v>0</v>
      </c>
      <c r="J72" s="357">
        <v>0</v>
      </c>
      <c r="K72" s="357">
        <v>0</v>
      </c>
      <c r="L72" s="357">
        <v>0</v>
      </c>
      <c r="M72" s="357">
        <v>0</v>
      </c>
      <c r="N72" s="357">
        <v>0</v>
      </c>
      <c r="O72" s="54"/>
    </row>
    <row r="73" spans="1:15" ht="14.5" x14ac:dyDescent="0.35">
      <c r="A73" s="154" t="s">
        <v>145</v>
      </c>
      <c r="B73" s="461">
        <f t="shared" si="2"/>
        <v>28659971.82</v>
      </c>
      <c r="C73" s="463">
        <v>7701255.8200000003</v>
      </c>
      <c r="D73" s="463">
        <v>2910382</v>
      </c>
      <c r="E73" s="463">
        <v>4865823</v>
      </c>
      <c r="F73" s="463">
        <v>10897511</v>
      </c>
      <c r="G73" s="463">
        <v>2285000</v>
      </c>
      <c r="H73" s="463">
        <v>0</v>
      </c>
      <c r="I73" s="463">
        <v>0</v>
      </c>
      <c r="J73" s="357">
        <v>0</v>
      </c>
      <c r="K73" s="357">
        <v>0</v>
      </c>
      <c r="L73" s="357">
        <v>0</v>
      </c>
      <c r="M73" s="357">
        <v>0</v>
      </c>
      <c r="N73" s="357">
        <v>0</v>
      </c>
      <c r="O73" s="54"/>
    </row>
    <row r="74" spans="1:15" ht="15" thickBot="1" x14ac:dyDescent="0.4">
      <c r="A74" s="154" t="s">
        <v>165</v>
      </c>
      <c r="B74" s="462">
        <f t="shared" si="2"/>
        <v>3256585.29</v>
      </c>
      <c r="C74" s="463">
        <v>1862641.8399999999</v>
      </c>
      <c r="D74" s="463">
        <v>1393943.45</v>
      </c>
      <c r="E74" s="463">
        <v>0</v>
      </c>
      <c r="F74" s="463">
        <v>0</v>
      </c>
      <c r="G74" s="463">
        <v>0</v>
      </c>
      <c r="H74" s="463">
        <v>0</v>
      </c>
      <c r="I74" s="463">
        <v>0</v>
      </c>
      <c r="J74" s="357">
        <v>0</v>
      </c>
      <c r="K74" s="357">
        <v>0</v>
      </c>
      <c r="L74" s="357">
        <v>0</v>
      </c>
      <c r="M74" s="357">
        <v>0</v>
      </c>
      <c r="N74" s="357">
        <v>0</v>
      </c>
      <c r="O74" s="54"/>
    </row>
    <row r="75" spans="1:15" ht="14" thickTop="1" x14ac:dyDescent="0.3">
      <c r="A75" s="45" t="s">
        <v>1</v>
      </c>
      <c r="B75" s="22">
        <f t="shared" ref="B75:N75" si="3">SUM(B56:B74)</f>
        <v>8809546838.5</v>
      </c>
      <c r="C75" s="22">
        <f t="shared" si="3"/>
        <v>2181487743.8299999</v>
      </c>
      <c r="D75" s="22">
        <f t="shared" si="3"/>
        <v>1357372810.3400002</v>
      </c>
      <c r="E75" s="22">
        <f t="shared" si="3"/>
        <v>1927159862.28</v>
      </c>
      <c r="F75" s="22">
        <f t="shared" si="3"/>
        <v>2079117104.3100002</v>
      </c>
      <c r="G75" s="22">
        <f t="shared" si="3"/>
        <v>1225689059.74</v>
      </c>
      <c r="H75" s="22">
        <f t="shared" si="3"/>
        <v>34301393.700000003</v>
      </c>
      <c r="I75" s="22">
        <f t="shared" si="3"/>
        <v>4418864.3</v>
      </c>
      <c r="J75" s="22">
        <f t="shared" si="3"/>
        <v>0</v>
      </c>
      <c r="K75" s="22">
        <f t="shared" si="3"/>
        <v>0</v>
      </c>
      <c r="L75" s="22">
        <f t="shared" si="3"/>
        <v>0</v>
      </c>
      <c r="M75" s="22">
        <f t="shared" si="3"/>
        <v>0</v>
      </c>
      <c r="N75" s="23">
        <f t="shared" si="3"/>
        <v>0</v>
      </c>
      <c r="O75" s="54"/>
    </row>
    <row r="76" spans="1:15" x14ac:dyDescent="0.3">
      <c r="A76" s="37"/>
      <c r="B76" s="38"/>
      <c r="C76" s="38"/>
      <c r="D76" s="38"/>
      <c r="E76" s="38"/>
      <c r="F76" s="38"/>
      <c r="G76" s="38"/>
      <c r="H76" s="38"/>
      <c r="I76" s="392"/>
      <c r="J76" s="392"/>
      <c r="K76" s="392"/>
      <c r="L76" s="392"/>
      <c r="M76" s="392"/>
      <c r="N76" s="392"/>
      <c r="O76" s="54"/>
    </row>
    <row r="77" spans="1:15" x14ac:dyDescent="0.3">
      <c r="A77" s="37"/>
      <c r="B77" s="38"/>
      <c r="C77" s="38"/>
      <c r="D77" s="459">
        <v>-1</v>
      </c>
      <c r="E77" s="38"/>
      <c r="F77" s="38"/>
      <c r="G77" s="38"/>
      <c r="H77" s="38"/>
      <c r="I77" s="392"/>
      <c r="J77" s="392"/>
      <c r="K77" s="392"/>
      <c r="L77" s="392"/>
      <c r="M77" s="392"/>
      <c r="N77" s="392"/>
      <c r="O77" s="54"/>
    </row>
    <row r="78" spans="1:15" x14ac:dyDescent="0.3">
      <c r="O78" s="54"/>
    </row>
    <row r="79" spans="1:15" x14ac:dyDescent="0.3">
      <c r="A79" s="187" t="s">
        <v>226</v>
      </c>
      <c r="B79" s="187"/>
      <c r="C79" s="187"/>
      <c r="D79" s="187"/>
      <c r="E79" s="187"/>
      <c r="F79" s="187"/>
      <c r="G79" s="187"/>
      <c r="H79" s="187"/>
      <c r="I79" s="187"/>
      <c r="J79" s="187"/>
      <c r="K79" s="187"/>
      <c r="L79" s="187"/>
      <c r="M79" s="187"/>
      <c r="N79" s="187"/>
      <c r="O79" s="54"/>
    </row>
    <row r="80" spans="1:15"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c r="O80" s="185"/>
    </row>
    <row r="81" spans="1:16" x14ac:dyDescent="0.3">
      <c r="A81" s="12"/>
      <c r="B81" s="11"/>
      <c r="C81" s="13"/>
      <c r="D81" s="13"/>
      <c r="E81" s="17"/>
      <c r="F81" s="13"/>
      <c r="G81" s="13"/>
      <c r="H81" s="13"/>
      <c r="I81" s="13"/>
      <c r="J81" s="13"/>
      <c r="K81" s="13"/>
      <c r="L81" s="13"/>
      <c r="M81" s="13"/>
      <c r="N81" s="13"/>
      <c r="O81" s="54"/>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c r="O82" s="54"/>
    </row>
    <row r="83" spans="1:16" x14ac:dyDescent="0.3">
      <c r="A83" s="41" t="s">
        <v>182</v>
      </c>
      <c r="B83" s="437">
        <f>SUM(C83:N83)</f>
        <v>8809546838.5</v>
      </c>
      <c r="C83" s="394">
        <v>2181487743.8299999</v>
      </c>
      <c r="D83" s="394">
        <v>1357372810.3400002</v>
      </c>
      <c r="E83" s="394">
        <v>1927159862.28</v>
      </c>
      <c r="F83" s="394">
        <v>2079117104.3100002</v>
      </c>
      <c r="G83" s="394">
        <v>1225689059.74</v>
      </c>
      <c r="H83" s="394">
        <v>34301393.700000003</v>
      </c>
      <c r="I83" s="394">
        <v>4418864.3</v>
      </c>
      <c r="J83" s="394"/>
      <c r="K83" s="394"/>
      <c r="L83" s="394"/>
      <c r="M83" s="394"/>
      <c r="N83" s="394"/>
      <c r="O83" s="54"/>
    </row>
    <row r="84" spans="1:16" x14ac:dyDescent="0.3">
      <c r="A84" s="49" t="s">
        <v>183</v>
      </c>
      <c r="B84" s="397">
        <f t="shared" ref="B84:B86" si="4">SUM(C84:N84)</f>
        <v>0</v>
      </c>
      <c r="C84" s="395"/>
      <c r="D84" s="395">
        <v>0</v>
      </c>
      <c r="E84" s="395"/>
      <c r="F84" s="395"/>
      <c r="G84" s="395"/>
      <c r="H84" s="395"/>
      <c r="I84" s="398"/>
      <c r="J84" s="398"/>
      <c r="K84" s="398"/>
      <c r="L84" s="398"/>
      <c r="M84" s="398"/>
      <c r="N84" s="398"/>
      <c r="O84" s="399"/>
    </row>
    <row r="85" spans="1:16" x14ac:dyDescent="0.3">
      <c r="A85" s="42" t="s">
        <v>184</v>
      </c>
      <c r="B85" s="397">
        <f t="shared" si="4"/>
        <v>0</v>
      </c>
      <c r="C85" s="400"/>
      <c r="D85" s="400"/>
      <c r="E85" s="401"/>
      <c r="F85" s="395"/>
      <c r="G85" s="395"/>
      <c r="H85" s="395"/>
      <c r="I85" s="398"/>
      <c r="J85" s="398"/>
      <c r="K85" s="398"/>
      <c r="L85" s="398"/>
      <c r="M85" s="398"/>
      <c r="N85" s="402"/>
      <c r="O85" s="54"/>
    </row>
    <row r="86" spans="1:16" ht="14" thickBot="1" x14ac:dyDescent="0.35">
      <c r="A86" s="42" t="s">
        <v>185</v>
      </c>
      <c r="B86" s="397">
        <f t="shared" si="4"/>
        <v>0</v>
      </c>
      <c r="C86" s="400"/>
      <c r="D86" s="400"/>
      <c r="E86" s="401"/>
      <c r="F86" s="395"/>
      <c r="G86" s="395"/>
      <c r="H86" s="395"/>
      <c r="I86" s="398"/>
      <c r="J86" s="398"/>
      <c r="K86" s="398"/>
      <c r="L86" s="398"/>
      <c r="M86" s="398"/>
      <c r="N86" s="402"/>
      <c r="O86" s="54"/>
    </row>
    <row r="87" spans="1:16" ht="14" thickTop="1" x14ac:dyDescent="0.3">
      <c r="A87" s="44" t="s">
        <v>1</v>
      </c>
      <c r="B87" s="22">
        <f t="shared" ref="B87:N87" si="5">SUM(B83:B86)</f>
        <v>8809546838.5</v>
      </c>
      <c r="C87" s="22">
        <f t="shared" si="5"/>
        <v>2181487743.8299999</v>
      </c>
      <c r="D87" s="22">
        <f t="shared" si="5"/>
        <v>1357372810.3400002</v>
      </c>
      <c r="E87" s="22">
        <f t="shared" si="5"/>
        <v>1927159862.28</v>
      </c>
      <c r="F87" s="22">
        <f t="shared" si="5"/>
        <v>2079117104.3100002</v>
      </c>
      <c r="G87" s="22">
        <f t="shared" si="5"/>
        <v>1225689059.74</v>
      </c>
      <c r="H87" s="22">
        <f t="shared" si="5"/>
        <v>34301393.700000003</v>
      </c>
      <c r="I87" s="22">
        <f t="shared" si="5"/>
        <v>4418864.3</v>
      </c>
      <c r="J87" s="22">
        <f t="shared" si="5"/>
        <v>0</v>
      </c>
      <c r="K87" s="22">
        <f t="shared" si="5"/>
        <v>0</v>
      </c>
      <c r="L87" s="22">
        <f t="shared" si="5"/>
        <v>0</v>
      </c>
      <c r="M87" s="22">
        <f t="shared" si="5"/>
        <v>0</v>
      </c>
      <c r="N87" s="23">
        <f t="shared" si="5"/>
        <v>0</v>
      </c>
      <c r="O87" s="54"/>
    </row>
    <row r="88" spans="1:16" x14ac:dyDescent="0.3">
      <c r="A88" s="26"/>
      <c r="B88" s="40"/>
      <c r="C88" s="40"/>
      <c r="D88" s="40"/>
      <c r="E88" s="40"/>
      <c r="F88" s="40"/>
      <c r="G88" s="40"/>
      <c r="H88" s="40"/>
      <c r="I88" s="40"/>
      <c r="J88" s="40"/>
      <c r="K88" s="40"/>
      <c r="L88" s="40"/>
      <c r="M88" s="40"/>
      <c r="N88" s="40"/>
      <c r="O88" s="54"/>
    </row>
    <row r="89" spans="1:16" x14ac:dyDescent="0.3">
      <c r="O89" s="54"/>
    </row>
    <row r="90" spans="1:16" x14ac:dyDescent="0.3">
      <c r="A90" s="187" t="s">
        <v>227</v>
      </c>
      <c r="B90" s="187"/>
      <c r="C90" s="187"/>
      <c r="D90" s="187"/>
      <c r="E90" s="187"/>
      <c r="F90" s="187"/>
      <c r="G90" s="187"/>
      <c r="H90" s="187"/>
      <c r="I90" s="187"/>
      <c r="J90" s="187"/>
      <c r="K90" s="187"/>
      <c r="L90" s="187"/>
      <c r="M90" s="187"/>
      <c r="N90" s="187"/>
      <c r="O90" s="5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c r="O91" s="54"/>
    </row>
    <row r="92" spans="1:16" x14ac:dyDescent="0.3">
      <c r="A92" s="46"/>
      <c r="B92" s="11"/>
      <c r="C92" s="13"/>
      <c r="D92" s="13"/>
      <c r="E92" s="17"/>
      <c r="F92" s="13"/>
      <c r="G92" s="13"/>
      <c r="H92" s="13"/>
      <c r="I92" s="13"/>
      <c r="J92" s="13"/>
      <c r="K92" s="13"/>
      <c r="L92" s="13"/>
      <c r="M92" s="13"/>
      <c r="N92" s="13"/>
      <c r="O92" s="185"/>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c r="O93" s="54"/>
    </row>
    <row r="94" spans="1:16" x14ac:dyDescent="0.3">
      <c r="A94" s="42" t="s">
        <v>62</v>
      </c>
      <c r="B94" s="393">
        <f>SUM(C94:N94)</f>
        <v>758565968.57000005</v>
      </c>
      <c r="C94" s="90">
        <v>89772970.379999995</v>
      </c>
      <c r="D94" s="90">
        <v>62490833.920000002</v>
      </c>
      <c r="E94" s="90">
        <v>164944687.03</v>
      </c>
      <c r="F94" s="90">
        <v>191851081.84999999</v>
      </c>
      <c r="G94" s="90">
        <v>249506395.38999999</v>
      </c>
      <c r="H94" s="90">
        <v>0</v>
      </c>
      <c r="I94" s="90">
        <v>0</v>
      </c>
      <c r="J94" s="393"/>
      <c r="K94" s="393"/>
      <c r="L94" s="393"/>
      <c r="M94" s="393"/>
      <c r="N94" s="393"/>
      <c r="O94" s="54"/>
    </row>
    <row r="95" spans="1:16" x14ac:dyDescent="0.3">
      <c r="A95" s="42" t="s">
        <v>63</v>
      </c>
      <c r="B95" s="397">
        <f t="shared" ref="B95:B98" si="6">SUM(C95:N95)</f>
        <v>1583862704.9200001</v>
      </c>
      <c r="C95" s="90">
        <v>232882527.43999997</v>
      </c>
      <c r="D95" s="90">
        <v>246487193.61000001</v>
      </c>
      <c r="E95" s="90">
        <v>363239646.40000004</v>
      </c>
      <c r="F95" s="90">
        <v>366324535.80999994</v>
      </c>
      <c r="G95" s="90">
        <v>368834424.66000003</v>
      </c>
      <c r="H95" s="90">
        <v>6094377</v>
      </c>
      <c r="I95" s="90">
        <v>0</v>
      </c>
      <c r="J95" s="397"/>
      <c r="K95" s="397"/>
      <c r="L95" s="397"/>
      <c r="M95" s="397"/>
      <c r="N95" s="397"/>
      <c r="O95" s="54"/>
    </row>
    <row r="96" spans="1:16" x14ac:dyDescent="0.3">
      <c r="A96" s="42" t="s">
        <v>64</v>
      </c>
      <c r="B96" s="397">
        <f t="shared" si="6"/>
        <v>1727147924.3099999</v>
      </c>
      <c r="C96" s="90">
        <v>304561934.58999997</v>
      </c>
      <c r="D96" s="90">
        <v>251611966.32000002</v>
      </c>
      <c r="E96" s="90">
        <v>398117812.13999999</v>
      </c>
      <c r="F96" s="90">
        <v>536083176.74000007</v>
      </c>
      <c r="G96" s="90">
        <v>234755534.52000001</v>
      </c>
      <c r="H96" s="90">
        <v>2017500</v>
      </c>
      <c r="I96" s="90">
        <v>0</v>
      </c>
      <c r="J96" s="397"/>
      <c r="K96" s="397"/>
      <c r="L96" s="397"/>
      <c r="M96" s="397"/>
      <c r="N96" s="397"/>
      <c r="O96" s="54"/>
    </row>
    <row r="97" spans="1:15" x14ac:dyDescent="0.3">
      <c r="A97" s="42" t="s">
        <v>65</v>
      </c>
      <c r="B97" s="397">
        <f t="shared" si="6"/>
        <v>2349609366.2799997</v>
      </c>
      <c r="C97" s="90">
        <v>527900656.89999986</v>
      </c>
      <c r="D97" s="90">
        <v>361433323.25000012</v>
      </c>
      <c r="E97" s="90">
        <v>548965070.52999997</v>
      </c>
      <c r="F97" s="90">
        <v>627178687.25</v>
      </c>
      <c r="G97" s="90">
        <v>263799022.19000003</v>
      </c>
      <c r="H97" s="90">
        <v>17338613.16</v>
      </c>
      <c r="I97" s="90">
        <v>2993993</v>
      </c>
      <c r="J97" s="397"/>
      <c r="K97" s="397"/>
      <c r="L97" s="397"/>
      <c r="M97" s="397"/>
      <c r="N97" s="397"/>
      <c r="O97" s="54"/>
    </row>
    <row r="98" spans="1:15" ht="14" thickBot="1" x14ac:dyDescent="0.35">
      <c r="A98" s="43" t="s">
        <v>66</v>
      </c>
      <c r="B98" s="409">
        <f t="shared" si="6"/>
        <v>2390360874.4600005</v>
      </c>
      <c r="C98" s="90">
        <v>1026369654.5200006</v>
      </c>
      <c r="D98" s="90">
        <v>435349493.23999995</v>
      </c>
      <c r="E98" s="90">
        <f>-1925512126+1927159862+450244909.98</f>
        <v>451892645.98000002</v>
      </c>
      <c r="F98" s="90">
        <f>-2077307665+2079117104+355870183.9</f>
        <v>357679622.89999998</v>
      </c>
      <c r="G98" s="90">
        <f>-1221585536+1225689060+104690158.98</f>
        <v>108793682.98</v>
      </c>
      <c r="H98" s="90">
        <v>8850903.5399999991</v>
      </c>
      <c r="I98" s="90">
        <v>1424871.3</v>
      </c>
      <c r="J98" s="409"/>
      <c r="K98" s="409"/>
      <c r="L98" s="409"/>
      <c r="M98" s="409"/>
      <c r="N98" s="409"/>
      <c r="O98" s="54"/>
    </row>
    <row r="99" spans="1:15" ht="14" thickTop="1" x14ac:dyDescent="0.3">
      <c r="A99" s="42" t="s">
        <v>1</v>
      </c>
      <c r="B99" s="412">
        <f>SUM(B94:B98)</f>
        <v>8809546838.5400009</v>
      </c>
      <c r="C99" s="22">
        <f>SUM(C94:C98)</f>
        <v>2181487743.8300004</v>
      </c>
      <c r="D99" s="22">
        <f t="shared" ref="D99:N99" si="7">SUM(D94:D98)</f>
        <v>1357372810.3400002</v>
      </c>
      <c r="E99" s="22">
        <f t="shared" si="7"/>
        <v>1927159862.0799999</v>
      </c>
      <c r="F99" s="22">
        <f t="shared" si="7"/>
        <v>2079117104.5500002</v>
      </c>
      <c r="G99" s="22">
        <f t="shared" si="7"/>
        <v>1225689059.74</v>
      </c>
      <c r="H99" s="22">
        <f t="shared" si="7"/>
        <v>34301393.700000003</v>
      </c>
      <c r="I99" s="22">
        <f t="shared" si="7"/>
        <v>4418864.3</v>
      </c>
      <c r="J99" s="22">
        <f t="shared" si="7"/>
        <v>0</v>
      </c>
      <c r="K99" s="22">
        <f t="shared" si="7"/>
        <v>0</v>
      </c>
      <c r="L99" s="22">
        <f t="shared" si="7"/>
        <v>0</v>
      </c>
      <c r="M99" s="22">
        <f t="shared" si="7"/>
        <v>0</v>
      </c>
      <c r="N99" s="22">
        <f t="shared" si="7"/>
        <v>0</v>
      </c>
      <c r="O99" s="399"/>
    </row>
    <row r="100" spans="1:15" x14ac:dyDescent="0.3">
      <c r="A100" s="26"/>
      <c r="B100" s="413"/>
      <c r="C100" s="413"/>
      <c r="D100" s="413"/>
      <c r="E100" s="413"/>
      <c r="F100" s="413"/>
      <c r="G100" s="413"/>
      <c r="H100" s="413"/>
      <c r="I100" s="413"/>
      <c r="J100" s="413"/>
      <c r="K100" s="413"/>
      <c r="L100" s="413"/>
      <c r="M100" s="413"/>
      <c r="N100" s="413"/>
      <c r="O100" s="55"/>
    </row>
    <row r="101" spans="1:15" x14ac:dyDescent="0.3">
      <c r="A101" s="67"/>
      <c r="O101" s="54"/>
    </row>
    <row r="102" spans="1:15" x14ac:dyDescent="0.3">
      <c r="A102" s="187" t="s">
        <v>228</v>
      </c>
      <c r="B102" s="187"/>
      <c r="C102" s="187"/>
      <c r="D102" s="187"/>
      <c r="E102" s="187"/>
      <c r="F102" s="187"/>
      <c r="G102" s="187"/>
      <c r="H102" s="187"/>
      <c r="I102" s="187"/>
      <c r="J102" s="187"/>
      <c r="K102" s="187"/>
      <c r="L102" s="187"/>
      <c r="M102" s="187"/>
      <c r="N102" s="187"/>
      <c r="O102" s="54"/>
    </row>
    <row r="103" spans="1:15" x14ac:dyDescent="0.3">
      <c r="A103" s="108"/>
      <c r="B103" s="110"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c r="O103" s="54"/>
    </row>
    <row r="104" spans="1:15" x14ac:dyDescent="0.3">
      <c r="A104" s="46"/>
      <c r="B104" s="13"/>
      <c r="C104" s="13"/>
      <c r="D104" s="13"/>
      <c r="E104" s="17"/>
      <c r="F104" s="13"/>
      <c r="G104" s="13"/>
      <c r="H104" s="13"/>
      <c r="I104" s="13"/>
      <c r="J104" s="13"/>
      <c r="K104" s="13"/>
      <c r="L104" s="13"/>
      <c r="M104" s="13"/>
      <c r="N104" s="13"/>
      <c r="O104" s="54"/>
    </row>
    <row r="105" spans="1:15" ht="27" x14ac:dyDescent="0.3">
      <c r="A105" s="47"/>
      <c r="B105" s="15" t="s">
        <v>4</v>
      </c>
      <c r="C105" s="15" t="s">
        <v>4</v>
      </c>
      <c r="D105" s="15" t="s">
        <v>4</v>
      </c>
      <c r="E105" s="14" t="s">
        <v>4</v>
      </c>
      <c r="F105" s="15" t="s">
        <v>4</v>
      </c>
      <c r="G105" s="15" t="s">
        <v>4</v>
      </c>
      <c r="H105" s="15" t="s">
        <v>4</v>
      </c>
      <c r="I105" s="15" t="s">
        <v>4</v>
      </c>
      <c r="J105" s="15" t="s">
        <v>4</v>
      </c>
      <c r="K105" s="15" t="s">
        <v>4</v>
      </c>
      <c r="L105" s="15" t="s">
        <v>4</v>
      </c>
      <c r="M105" s="15" t="s">
        <v>4</v>
      </c>
      <c r="N105" s="15" t="s">
        <v>4</v>
      </c>
      <c r="O105" s="54"/>
    </row>
    <row r="106" spans="1:15" ht="14.5" x14ac:dyDescent="0.35">
      <c r="A106" s="42" t="s">
        <v>201</v>
      </c>
      <c r="B106" s="393">
        <f>SUM(C106:N106)</f>
        <v>8786861956.3999996</v>
      </c>
      <c r="C106" s="357">
        <v>2166763983.2299995</v>
      </c>
      <c r="D106" s="357">
        <v>1355995908.3399999</v>
      </c>
      <c r="E106" s="357">
        <f>-1925512126+1927159862+1918927906.08</f>
        <v>1920575642.0799999</v>
      </c>
      <c r="F106" s="357">
        <f>-2077307665+2079117105+2077307665.31</f>
        <v>2079117105.3099999</v>
      </c>
      <c r="G106" s="357">
        <f>1225689060-1221585536+1221585535.74</f>
        <v>1225689059.74</v>
      </c>
      <c r="H106" s="357">
        <v>34301393.699999996</v>
      </c>
      <c r="I106" s="357">
        <v>4418864</v>
      </c>
      <c r="J106" s="387"/>
      <c r="K106" s="414"/>
      <c r="L106" s="387"/>
      <c r="M106" s="414"/>
      <c r="N106" s="414"/>
      <c r="O106" s="54"/>
    </row>
    <row r="107" spans="1:15" ht="14.5" x14ac:dyDescent="0.35">
      <c r="A107" s="42" t="s">
        <v>202</v>
      </c>
      <c r="B107" s="397">
        <f t="shared" ref="B107:B109" si="8">SUM(C107:N107)</f>
        <v>15342551.6</v>
      </c>
      <c r="C107" s="357">
        <v>10138166.6</v>
      </c>
      <c r="D107" s="357">
        <v>1376902</v>
      </c>
      <c r="E107" s="357">
        <v>3827483</v>
      </c>
      <c r="F107" s="357">
        <v>0</v>
      </c>
      <c r="G107" s="357">
        <v>0</v>
      </c>
      <c r="H107" s="357">
        <v>0</v>
      </c>
      <c r="I107" s="357">
        <v>0</v>
      </c>
      <c r="J107" s="387"/>
      <c r="K107" s="415"/>
      <c r="L107" s="387"/>
      <c r="M107" s="415"/>
      <c r="N107" s="415"/>
      <c r="O107" s="54"/>
    </row>
    <row r="108" spans="1:15" x14ac:dyDescent="0.3">
      <c r="A108" s="42" t="s">
        <v>58</v>
      </c>
      <c r="B108" s="397">
        <f t="shared" si="8"/>
        <v>6618741</v>
      </c>
      <c r="C108" s="357">
        <v>3862004</v>
      </c>
      <c r="D108" s="357">
        <v>0</v>
      </c>
      <c r="E108" s="357">
        <v>2756737</v>
      </c>
      <c r="F108" s="357">
        <v>0</v>
      </c>
      <c r="G108" s="357">
        <v>0</v>
      </c>
      <c r="H108" s="357">
        <v>0</v>
      </c>
      <c r="I108" s="357">
        <v>0</v>
      </c>
      <c r="J108" s="420"/>
      <c r="K108" s="419"/>
      <c r="L108" s="420"/>
      <c r="M108" s="419"/>
      <c r="N108" s="419"/>
      <c r="O108" s="54"/>
    </row>
    <row r="109" spans="1:15" ht="14" thickBot="1" x14ac:dyDescent="0.35">
      <c r="A109" s="43" t="s">
        <v>203</v>
      </c>
      <c r="B109" s="397">
        <f t="shared" si="8"/>
        <v>723590</v>
      </c>
      <c r="C109" s="357">
        <v>723590</v>
      </c>
      <c r="D109" s="357">
        <v>0</v>
      </c>
      <c r="E109" s="357">
        <v>0</v>
      </c>
      <c r="F109" s="357">
        <v>0</v>
      </c>
      <c r="G109" s="357">
        <v>0</v>
      </c>
      <c r="H109" s="357">
        <v>0</v>
      </c>
      <c r="I109" s="357">
        <v>0</v>
      </c>
      <c r="J109" s="420"/>
      <c r="K109" s="423"/>
      <c r="L109" s="420"/>
      <c r="M109" s="423"/>
      <c r="N109" s="424"/>
      <c r="O109" s="54"/>
    </row>
    <row r="110" spans="1:15" ht="14" thickTop="1" x14ac:dyDescent="0.3">
      <c r="A110" s="42" t="s">
        <v>1</v>
      </c>
      <c r="B110" s="97">
        <f>SUM(B106:B109)</f>
        <v>8809546839</v>
      </c>
      <c r="C110" s="97">
        <f>SUM(C106:C109)</f>
        <v>2181487743.8299994</v>
      </c>
      <c r="D110" s="97">
        <f t="shared" ref="D110:N110" si="9">SUM(D106:D109)</f>
        <v>1357372810.3399999</v>
      </c>
      <c r="E110" s="97">
        <f t="shared" si="9"/>
        <v>1927159862.0799999</v>
      </c>
      <c r="F110" s="97">
        <f t="shared" si="9"/>
        <v>2079117105.3099999</v>
      </c>
      <c r="G110" s="97">
        <f t="shared" si="9"/>
        <v>1225689059.74</v>
      </c>
      <c r="H110" s="97">
        <f t="shared" si="9"/>
        <v>34301393.699999996</v>
      </c>
      <c r="I110" s="97">
        <f t="shared" si="9"/>
        <v>4418864</v>
      </c>
      <c r="J110" s="97">
        <f t="shared" si="9"/>
        <v>0</v>
      </c>
      <c r="K110" s="97">
        <f t="shared" si="9"/>
        <v>0</v>
      </c>
      <c r="L110" s="97">
        <f t="shared" si="9"/>
        <v>0</v>
      </c>
      <c r="M110" s="97">
        <f t="shared" si="9"/>
        <v>0</v>
      </c>
      <c r="N110" s="97">
        <f t="shared" si="9"/>
        <v>0</v>
      </c>
      <c r="O110" s="54"/>
    </row>
    <row r="111" spans="1:15" x14ac:dyDescent="0.3">
      <c r="A111" s="26"/>
      <c r="B111" s="99"/>
      <c r="C111" s="99"/>
      <c r="D111" s="99"/>
      <c r="E111" s="99"/>
      <c r="F111" s="99"/>
      <c r="G111" s="99"/>
      <c r="H111" s="99"/>
      <c r="I111" s="99"/>
      <c r="J111" s="99"/>
      <c r="K111" s="99"/>
      <c r="L111" s="99"/>
      <c r="M111" s="99"/>
      <c r="N111" s="99"/>
    </row>
    <row r="113" spans="1:16" x14ac:dyDescent="0.3">
      <c r="A113" s="187" t="s">
        <v>229</v>
      </c>
      <c r="B113" s="187"/>
      <c r="C113" s="187"/>
      <c r="D113" s="187"/>
      <c r="E113" s="187"/>
      <c r="F113" s="187"/>
      <c r="G113" s="187"/>
      <c r="H113" s="187"/>
      <c r="I113" s="187"/>
      <c r="J113" s="187"/>
      <c r="K113" s="187"/>
      <c r="L113" s="187"/>
      <c r="M113" s="187"/>
      <c r="N113" s="187"/>
      <c r="O113" s="54"/>
    </row>
    <row r="114" spans="1:16"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c r="O114" s="54"/>
    </row>
    <row r="115" spans="1:16" x14ac:dyDescent="0.3">
      <c r="A115" s="48"/>
      <c r="B115" s="11"/>
      <c r="C115" s="13"/>
      <c r="D115" s="13"/>
      <c r="E115" s="17"/>
      <c r="F115" s="13"/>
      <c r="G115" s="13"/>
      <c r="H115" s="13"/>
      <c r="I115" s="13"/>
      <c r="J115" s="13"/>
      <c r="K115" s="13"/>
      <c r="L115" s="13"/>
      <c r="M115" s="13"/>
      <c r="N115" s="13"/>
      <c r="O115" s="54"/>
    </row>
    <row r="116" spans="1:16"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c r="O116" s="54"/>
    </row>
    <row r="117" spans="1:16" x14ac:dyDescent="0.3">
      <c r="A117" s="42" t="s">
        <v>57</v>
      </c>
      <c r="B117" s="394">
        <f>SUM(C117:N117)</f>
        <v>8809546839</v>
      </c>
      <c r="C117" s="394">
        <f>+C110</f>
        <v>2181487743.8299994</v>
      </c>
      <c r="D117" s="394">
        <f t="shared" ref="D117:N117" si="10">+D110</f>
        <v>1357372810.3399999</v>
      </c>
      <c r="E117" s="394">
        <f t="shared" si="10"/>
        <v>1927159862.0799999</v>
      </c>
      <c r="F117" s="394">
        <f t="shared" si="10"/>
        <v>2079117105.3099999</v>
      </c>
      <c r="G117" s="394">
        <f t="shared" si="10"/>
        <v>1225689059.74</v>
      </c>
      <c r="H117" s="394">
        <f t="shared" si="10"/>
        <v>34301393.699999996</v>
      </c>
      <c r="I117" s="394">
        <f t="shared" si="10"/>
        <v>4418864</v>
      </c>
      <c r="J117" s="394">
        <f t="shared" si="10"/>
        <v>0</v>
      </c>
      <c r="K117" s="394">
        <f t="shared" si="10"/>
        <v>0</v>
      </c>
      <c r="L117" s="394">
        <f t="shared" si="10"/>
        <v>0</v>
      </c>
      <c r="M117" s="394">
        <f t="shared" si="10"/>
        <v>0</v>
      </c>
      <c r="N117" s="394">
        <f t="shared" si="10"/>
        <v>0</v>
      </c>
      <c r="O117" s="399"/>
      <c r="P117" s="53">
        <v>-1</v>
      </c>
    </row>
    <row r="118" spans="1:16" x14ac:dyDescent="0.3">
      <c r="A118" s="42" t="s">
        <v>67</v>
      </c>
      <c r="B118" s="100"/>
      <c r="C118" s="417"/>
      <c r="D118" s="417"/>
      <c r="E118" s="417"/>
      <c r="F118" s="417"/>
      <c r="G118" s="417"/>
      <c r="H118" s="417"/>
      <c r="I118" s="425"/>
      <c r="J118" s="425"/>
      <c r="K118" s="425"/>
      <c r="L118" s="425"/>
      <c r="M118" s="425"/>
      <c r="N118" s="425"/>
      <c r="O118" s="399"/>
    </row>
    <row r="119" spans="1:16" x14ac:dyDescent="0.3">
      <c r="A119" s="42" t="s">
        <v>68</v>
      </c>
      <c r="B119" s="100"/>
      <c r="C119" s="417"/>
      <c r="D119" s="417"/>
      <c r="E119" s="417"/>
      <c r="F119" s="417"/>
      <c r="G119" s="417"/>
      <c r="H119" s="417"/>
      <c r="I119" s="425"/>
      <c r="J119" s="425"/>
      <c r="K119" s="425"/>
      <c r="L119" s="425"/>
      <c r="M119" s="425"/>
      <c r="N119" s="425"/>
      <c r="O119" s="399"/>
    </row>
    <row r="120" spans="1:16" ht="14" thickBot="1" x14ac:dyDescent="0.35">
      <c r="A120" s="43" t="s">
        <v>69</v>
      </c>
      <c r="B120" s="93"/>
      <c r="C120" s="426"/>
      <c r="D120" s="426"/>
      <c r="E120" s="426"/>
      <c r="F120" s="426"/>
      <c r="G120" s="426"/>
      <c r="H120" s="426"/>
      <c r="I120" s="427"/>
      <c r="J120" s="427"/>
      <c r="K120" s="427"/>
      <c r="L120" s="427"/>
      <c r="M120" s="427"/>
      <c r="N120" s="427"/>
      <c r="O120" s="399"/>
    </row>
    <row r="121" spans="1:16" ht="14" thickTop="1" x14ac:dyDescent="0.3">
      <c r="A121" s="42" t="s">
        <v>1</v>
      </c>
      <c r="B121" s="97">
        <f>SUM(B117:B120)</f>
        <v>8809546839</v>
      </c>
      <c r="C121" s="97">
        <f>SUM(C117:C120)</f>
        <v>2181487743.8299994</v>
      </c>
      <c r="D121" s="97">
        <f t="shared" ref="D121:N121" si="11">SUM(D117:D120)</f>
        <v>1357372810.3399999</v>
      </c>
      <c r="E121" s="97">
        <f t="shared" si="11"/>
        <v>1927159862.0799999</v>
      </c>
      <c r="F121" s="97">
        <f t="shared" si="11"/>
        <v>2079117105.3099999</v>
      </c>
      <c r="G121" s="97">
        <f t="shared" si="11"/>
        <v>1225689059.74</v>
      </c>
      <c r="H121" s="97">
        <f t="shared" si="11"/>
        <v>34301393.699999996</v>
      </c>
      <c r="I121" s="97">
        <f t="shared" si="11"/>
        <v>4418864</v>
      </c>
      <c r="J121" s="97">
        <f t="shared" si="11"/>
        <v>0</v>
      </c>
      <c r="K121" s="97">
        <f t="shared" si="11"/>
        <v>0</v>
      </c>
      <c r="L121" s="97">
        <f t="shared" si="11"/>
        <v>0</v>
      </c>
      <c r="M121" s="97">
        <f t="shared" si="11"/>
        <v>0</v>
      </c>
      <c r="N121" s="97">
        <f t="shared" si="11"/>
        <v>0</v>
      </c>
      <c r="O121" s="399"/>
    </row>
    <row r="122" spans="1:16" x14ac:dyDescent="0.3">
      <c r="A122" s="26"/>
      <c r="B122" s="99"/>
      <c r="C122" s="99"/>
      <c r="D122" s="99"/>
      <c r="E122" s="99"/>
      <c r="F122" s="99"/>
      <c r="G122" s="99"/>
      <c r="H122" s="99"/>
      <c r="I122" s="99"/>
      <c r="J122" s="99"/>
      <c r="K122" s="99"/>
      <c r="L122" s="99"/>
      <c r="M122" s="99"/>
      <c r="N122" s="99"/>
      <c r="O122" s="55"/>
    </row>
    <row r="123" spans="1:16" x14ac:dyDescent="0.3">
      <c r="O123" s="54"/>
    </row>
    <row r="124" spans="1:16" x14ac:dyDescent="0.3">
      <c r="A124" s="187" t="s">
        <v>230</v>
      </c>
      <c r="B124" s="187"/>
      <c r="C124" s="187"/>
      <c r="D124" s="187"/>
      <c r="E124" s="187"/>
      <c r="F124" s="187"/>
      <c r="G124" s="187"/>
      <c r="H124" s="187"/>
      <c r="I124" s="187"/>
      <c r="J124" s="54"/>
    </row>
    <row r="125" spans="1:16" ht="40.5" x14ac:dyDescent="0.3">
      <c r="A125" s="109" t="s">
        <v>50</v>
      </c>
      <c r="B125" s="109" t="s">
        <v>51</v>
      </c>
      <c r="C125" s="149" t="s">
        <v>204</v>
      </c>
      <c r="D125" s="149" t="s">
        <v>59</v>
      </c>
      <c r="E125" s="149" t="s">
        <v>61</v>
      </c>
      <c r="F125" s="149" t="s">
        <v>53</v>
      </c>
      <c r="G125" s="150" t="s">
        <v>60</v>
      </c>
      <c r="H125" s="151" t="s">
        <v>54</v>
      </c>
      <c r="I125" s="150" t="s">
        <v>55</v>
      </c>
      <c r="J125" s="54"/>
    </row>
    <row r="126" spans="1:16" x14ac:dyDescent="0.3">
      <c r="A126" s="42" t="s">
        <v>206</v>
      </c>
      <c r="B126" s="70" t="s">
        <v>3</v>
      </c>
      <c r="C126" s="419">
        <v>226000000</v>
      </c>
      <c r="D126" s="277">
        <v>43640</v>
      </c>
      <c r="E126" s="277">
        <v>44006</v>
      </c>
      <c r="F126" s="101" t="s">
        <v>56</v>
      </c>
      <c r="G126" s="101" t="s">
        <v>108</v>
      </c>
      <c r="H126" s="309">
        <v>41663</v>
      </c>
      <c r="I126" s="143">
        <v>12</v>
      </c>
      <c r="J126" s="54"/>
    </row>
    <row r="127" spans="1:16" x14ac:dyDescent="0.3">
      <c r="A127" s="42" t="s">
        <v>207</v>
      </c>
      <c r="B127" s="70" t="s">
        <v>3</v>
      </c>
      <c r="C127" s="419">
        <v>2000000000</v>
      </c>
      <c r="D127" s="277">
        <v>44315</v>
      </c>
      <c r="E127" s="277">
        <v>44680</v>
      </c>
      <c r="F127" s="101" t="s">
        <v>56</v>
      </c>
      <c r="G127" s="101" t="s">
        <v>108</v>
      </c>
      <c r="H127" s="309">
        <v>41521</v>
      </c>
      <c r="I127" s="143">
        <v>13</v>
      </c>
      <c r="J127" s="54"/>
    </row>
    <row r="128" spans="1:16" x14ac:dyDescent="0.3">
      <c r="A128" s="42" t="s">
        <v>250</v>
      </c>
      <c r="B128" s="70" t="s">
        <v>3</v>
      </c>
      <c r="C128" s="425">
        <v>200000000</v>
      </c>
      <c r="D128" s="277">
        <v>44522</v>
      </c>
      <c r="E128" s="277">
        <v>44887</v>
      </c>
      <c r="F128" s="101" t="s">
        <v>58</v>
      </c>
      <c r="G128" s="101" t="s">
        <v>109</v>
      </c>
      <c r="H128" s="309">
        <v>42696</v>
      </c>
      <c r="I128" s="143">
        <v>14</v>
      </c>
      <c r="J128" s="54"/>
    </row>
    <row r="129" spans="1:17" x14ac:dyDescent="0.3">
      <c r="A129" s="42" t="s">
        <v>251</v>
      </c>
      <c r="B129" s="70" t="s">
        <v>3</v>
      </c>
      <c r="C129" s="425">
        <v>2000000000</v>
      </c>
      <c r="D129" s="277">
        <v>44708</v>
      </c>
      <c r="E129" s="277">
        <v>45073</v>
      </c>
      <c r="F129" s="101" t="s">
        <v>56</v>
      </c>
      <c r="G129" s="101" t="s">
        <v>108</v>
      </c>
      <c r="H129" s="309">
        <v>42913</v>
      </c>
      <c r="I129" s="143">
        <v>15</v>
      </c>
      <c r="J129" s="54"/>
    </row>
    <row r="130" spans="1:17" x14ac:dyDescent="0.3">
      <c r="A130" s="42" t="s">
        <v>268</v>
      </c>
      <c r="B130" s="70" t="s">
        <v>3</v>
      </c>
      <c r="C130" s="425">
        <v>850000000</v>
      </c>
      <c r="D130" s="277">
        <v>44124</v>
      </c>
      <c r="E130" s="277">
        <v>44489</v>
      </c>
      <c r="F130" s="101" t="s">
        <v>56</v>
      </c>
      <c r="G130" s="101" t="s">
        <v>108</v>
      </c>
      <c r="H130" s="309">
        <v>43147</v>
      </c>
      <c r="I130" s="143">
        <v>16</v>
      </c>
      <c r="J130" s="54"/>
    </row>
    <row r="131" spans="1:17" x14ac:dyDescent="0.3">
      <c r="A131" s="42" t="s">
        <v>270</v>
      </c>
      <c r="B131" s="70" t="s">
        <v>3</v>
      </c>
      <c r="C131" s="425">
        <v>2350000000</v>
      </c>
      <c r="D131" s="277">
        <v>45089</v>
      </c>
      <c r="E131" s="277">
        <v>45455</v>
      </c>
      <c r="F131" s="101" t="s">
        <v>56</v>
      </c>
      <c r="G131" s="101" t="s">
        <v>108</v>
      </c>
      <c r="H131" s="309">
        <v>43353</v>
      </c>
      <c r="I131" s="143">
        <v>17</v>
      </c>
      <c r="J131" s="54"/>
    </row>
    <row r="132" spans="1:17" ht="14" thickBot="1" x14ac:dyDescent="0.35">
      <c r="A132" s="43" t="s">
        <v>276</v>
      </c>
      <c r="B132" s="169" t="s">
        <v>3</v>
      </c>
      <c r="C132" s="427">
        <v>240000000</v>
      </c>
      <c r="D132" s="275">
        <v>44491</v>
      </c>
      <c r="E132" s="275">
        <v>44856</v>
      </c>
      <c r="F132" s="172" t="s">
        <v>58</v>
      </c>
      <c r="G132" s="171" t="s">
        <v>109</v>
      </c>
      <c r="H132" s="278">
        <v>43395</v>
      </c>
      <c r="I132" s="172">
        <v>18</v>
      </c>
      <c r="J132" s="54"/>
    </row>
    <row r="133" spans="1:17" ht="14" thickTop="1" x14ac:dyDescent="0.3">
      <c r="A133" s="26"/>
      <c r="B133" s="67"/>
      <c r="C133" s="367">
        <f>SUM(C126:C132)</f>
        <v>7866000000</v>
      </c>
      <c r="D133" s="429"/>
      <c r="E133" s="429"/>
      <c r="F133" s="105"/>
      <c r="G133" s="105"/>
      <c r="H133" s="429"/>
      <c r="I133" s="105"/>
      <c r="J133" s="54"/>
    </row>
    <row r="134" spans="1:17" s="67" customFormat="1" x14ac:dyDescent="0.3">
      <c r="A134" s="26"/>
      <c r="C134" s="420"/>
      <c r="D134" s="102"/>
      <c r="E134" s="102"/>
      <c r="F134" s="105"/>
      <c r="I134" s="102"/>
    </row>
    <row r="135" spans="1:17" s="67" customFormat="1" x14ac:dyDescent="0.3">
      <c r="A135" s="26"/>
      <c r="C135" s="420"/>
      <c r="D135" s="102"/>
      <c r="E135" s="102"/>
      <c r="F135" s="105"/>
      <c r="H135" s="55"/>
      <c r="I135" s="441"/>
      <c r="J135" s="55"/>
      <c r="K135" s="55"/>
      <c r="L135" s="55"/>
      <c r="M135" s="55"/>
      <c r="N135" s="55"/>
    </row>
    <row r="136" spans="1:17" s="67" customFormat="1" x14ac:dyDescent="0.3">
      <c r="A136" s="187" t="s">
        <v>231</v>
      </c>
      <c r="B136" s="187"/>
      <c r="C136" s="187"/>
      <c r="D136" s="187"/>
      <c r="E136" s="187"/>
      <c r="F136" s="187"/>
      <c r="G136" s="55"/>
      <c r="H136" s="55"/>
      <c r="I136" s="441"/>
      <c r="J136" s="55"/>
      <c r="K136" s="55"/>
      <c r="L136" s="55"/>
      <c r="M136" s="55"/>
      <c r="N136" s="55"/>
    </row>
    <row r="137" spans="1:17" s="67" customFormat="1" x14ac:dyDescent="0.3">
      <c r="A137" s="136" t="s">
        <v>119</v>
      </c>
      <c r="B137" s="19" t="s">
        <v>50</v>
      </c>
      <c r="C137" s="19" t="s">
        <v>120</v>
      </c>
      <c r="D137" s="19" t="s">
        <v>51</v>
      </c>
      <c r="E137" s="63" t="s">
        <v>121</v>
      </c>
      <c r="F137" s="63" t="s">
        <v>166</v>
      </c>
      <c r="G137" s="55"/>
      <c r="H137" s="55"/>
      <c r="I137" s="55"/>
    </row>
    <row r="138" spans="1:17" s="67" customFormat="1" x14ac:dyDescent="0.3">
      <c r="A138" s="466" t="s">
        <v>123</v>
      </c>
      <c r="B138" s="464" t="s">
        <v>124</v>
      </c>
      <c r="C138" s="430" t="s">
        <v>125</v>
      </c>
      <c r="D138" s="430" t="s">
        <v>3</v>
      </c>
      <c r="E138" s="419">
        <v>256267000</v>
      </c>
      <c r="F138" s="196" t="s">
        <v>277</v>
      </c>
      <c r="G138" s="438"/>
      <c r="H138" s="55"/>
      <c r="I138" s="89"/>
      <c r="J138" s="55"/>
      <c r="K138" s="55"/>
      <c r="L138" s="55"/>
      <c r="M138" s="445"/>
      <c r="N138" s="446"/>
    </row>
    <row r="139" spans="1:17" s="67" customFormat="1" x14ac:dyDescent="0.3">
      <c r="A139" s="6" t="s">
        <v>252</v>
      </c>
      <c r="B139" s="465" t="s">
        <v>253</v>
      </c>
      <c r="C139" s="372" t="s">
        <v>128</v>
      </c>
      <c r="D139" s="372" t="s">
        <v>3</v>
      </c>
      <c r="E139" s="416">
        <v>10000000</v>
      </c>
      <c r="F139" s="358" t="s">
        <v>129</v>
      </c>
      <c r="G139" s="438"/>
      <c r="H139" s="438"/>
      <c r="I139" s="89"/>
      <c r="J139" s="55"/>
      <c r="K139" s="55"/>
      <c r="L139" s="445"/>
      <c r="M139" s="445"/>
      <c r="N139" s="446"/>
      <c r="O139" s="440"/>
      <c r="Q139" s="440"/>
    </row>
    <row r="140" spans="1:17" s="67" customFormat="1" x14ac:dyDescent="0.3">
      <c r="A140" s="6" t="s">
        <v>255</v>
      </c>
      <c r="B140" s="465" t="s">
        <v>256</v>
      </c>
      <c r="C140" s="372" t="s">
        <v>128</v>
      </c>
      <c r="D140" s="372" t="s">
        <v>3</v>
      </c>
      <c r="E140" s="416">
        <v>51000000</v>
      </c>
      <c r="F140" s="358" t="s">
        <v>129</v>
      </c>
      <c r="G140" s="438"/>
      <c r="H140" s="438"/>
      <c r="I140" s="89"/>
      <c r="J140" s="55"/>
      <c r="K140" s="55"/>
      <c r="L140" s="445"/>
      <c r="M140" s="445"/>
      <c r="N140" s="446"/>
      <c r="O140" s="440"/>
      <c r="Q140" s="440"/>
    </row>
    <row r="141" spans="1:17" s="67" customFormat="1" x14ac:dyDescent="0.3">
      <c r="A141" s="6" t="s">
        <v>238</v>
      </c>
      <c r="B141" s="465" t="s">
        <v>241</v>
      </c>
      <c r="C141" s="372" t="s">
        <v>128</v>
      </c>
      <c r="D141" s="372" t="s">
        <v>3</v>
      </c>
      <c r="E141" s="416">
        <v>45000000</v>
      </c>
      <c r="F141" s="358" t="s">
        <v>129</v>
      </c>
      <c r="G141" s="438"/>
      <c r="H141" s="438"/>
      <c r="I141" s="89"/>
      <c r="J141" s="55"/>
      <c r="K141" s="55"/>
      <c r="L141" s="445"/>
      <c r="M141" s="445"/>
      <c r="N141" s="446"/>
      <c r="O141" s="440"/>
      <c r="Q141" s="440"/>
    </row>
    <row r="142" spans="1:17" s="67" customFormat="1" x14ac:dyDescent="0.3">
      <c r="A142" s="6" t="s">
        <v>271</v>
      </c>
      <c r="B142" s="465" t="s">
        <v>269</v>
      </c>
      <c r="C142" s="372" t="s">
        <v>128</v>
      </c>
      <c r="D142" s="372" t="s">
        <v>3</v>
      </c>
      <c r="E142" s="416">
        <v>100000000</v>
      </c>
      <c r="F142" s="358" t="s">
        <v>129</v>
      </c>
      <c r="G142" s="438"/>
      <c r="H142" s="438"/>
      <c r="I142" s="89"/>
      <c r="J142" s="55"/>
      <c r="K142" s="55"/>
      <c r="L142" s="445"/>
      <c r="M142" s="445"/>
      <c r="N142" s="446"/>
      <c r="O142" s="440"/>
      <c r="Q142" s="440"/>
    </row>
    <row r="143" spans="1:17" s="67" customFormat="1" x14ac:dyDescent="0.3">
      <c r="A143" s="6" t="s">
        <v>257</v>
      </c>
      <c r="B143" s="465" t="s">
        <v>258</v>
      </c>
      <c r="C143" s="372" t="s">
        <v>128</v>
      </c>
      <c r="D143" s="372" t="s">
        <v>3</v>
      </c>
      <c r="E143" s="416">
        <v>10000000</v>
      </c>
      <c r="F143" s="358" t="s">
        <v>129</v>
      </c>
      <c r="G143" s="438"/>
      <c r="H143" s="438"/>
      <c r="I143" s="89"/>
      <c r="J143" s="55"/>
      <c r="K143" s="55"/>
      <c r="L143" s="445"/>
      <c r="M143" s="445"/>
      <c r="N143" s="446"/>
      <c r="O143" s="440"/>
      <c r="Q143" s="440"/>
    </row>
    <row r="144" spans="1:17" s="67" customFormat="1" x14ac:dyDescent="0.3">
      <c r="A144" s="442" t="s">
        <v>264</v>
      </c>
      <c r="B144" s="465" t="s">
        <v>263</v>
      </c>
      <c r="C144" s="372" t="s">
        <v>128</v>
      </c>
      <c r="D144" s="372" t="s">
        <v>3</v>
      </c>
      <c r="E144" s="416">
        <v>25000000</v>
      </c>
      <c r="F144" s="358" t="s">
        <v>129</v>
      </c>
      <c r="G144" s="438"/>
      <c r="H144" s="438"/>
      <c r="I144" s="89"/>
      <c r="J144" s="55"/>
      <c r="K144" s="55"/>
      <c r="L144" s="445"/>
      <c r="M144" s="445"/>
      <c r="N144" s="446"/>
      <c r="O144" s="440"/>
      <c r="Q144" s="440"/>
    </row>
    <row r="145" spans="1:17" s="67" customFormat="1" x14ac:dyDescent="0.3">
      <c r="A145" s="467" t="s">
        <v>274</v>
      </c>
      <c r="B145" s="465" t="s">
        <v>275</v>
      </c>
      <c r="C145" s="372" t="s">
        <v>128</v>
      </c>
      <c r="D145" s="372" t="s">
        <v>3</v>
      </c>
      <c r="E145" s="416">
        <v>25000000</v>
      </c>
      <c r="F145" s="358" t="s">
        <v>129</v>
      </c>
      <c r="G145" s="438"/>
      <c r="H145" s="438"/>
      <c r="I145" s="89"/>
      <c r="J145" s="55"/>
      <c r="K145" s="55"/>
      <c r="L145" s="445"/>
      <c r="M145" s="445"/>
      <c r="N145" s="446"/>
      <c r="O145" s="440"/>
      <c r="Q145" s="440"/>
    </row>
    <row r="146" spans="1:17" s="67" customFormat="1" x14ac:dyDescent="0.3">
      <c r="A146" s="467" t="s">
        <v>280</v>
      </c>
      <c r="B146" s="465" t="s">
        <v>279</v>
      </c>
      <c r="C146" s="372" t="s">
        <v>128</v>
      </c>
      <c r="D146" s="372" t="s">
        <v>3</v>
      </c>
      <c r="E146" s="416">
        <v>50000000</v>
      </c>
      <c r="F146" s="196" t="s">
        <v>195</v>
      </c>
      <c r="G146" s="438"/>
      <c r="H146" s="438"/>
      <c r="I146" s="89"/>
      <c r="J146" s="55"/>
      <c r="K146" s="55"/>
      <c r="L146" s="445"/>
      <c r="M146" s="445"/>
      <c r="N146" s="446"/>
      <c r="O146" s="440"/>
      <c r="Q146" s="440"/>
    </row>
    <row r="147" spans="1:17" s="67" customFormat="1" x14ac:dyDescent="0.3">
      <c r="A147" s="467" t="s">
        <v>281</v>
      </c>
      <c r="B147" s="465" t="s">
        <v>278</v>
      </c>
      <c r="C147" s="372"/>
      <c r="D147" s="372" t="s">
        <v>3</v>
      </c>
      <c r="E147" s="416">
        <v>10000000</v>
      </c>
      <c r="F147" s="196" t="s">
        <v>131</v>
      </c>
      <c r="G147" s="438"/>
      <c r="H147" s="438"/>
      <c r="I147" s="89"/>
      <c r="J147" s="55"/>
      <c r="K147" s="55"/>
      <c r="L147" s="445"/>
      <c r="M147" s="445"/>
      <c r="N147" s="446"/>
      <c r="O147" s="440"/>
      <c r="Q147" s="440"/>
    </row>
    <row r="148" spans="1:17" s="67" customFormat="1" x14ac:dyDescent="0.3">
      <c r="A148" s="469" t="s">
        <v>259</v>
      </c>
      <c r="B148" s="443" t="s">
        <v>260</v>
      </c>
      <c r="C148" s="443" t="s">
        <v>248</v>
      </c>
      <c r="D148" s="443" t="s">
        <v>3</v>
      </c>
      <c r="E148" s="422">
        <v>10000000</v>
      </c>
      <c r="F148" s="359" t="s">
        <v>282</v>
      </c>
      <c r="G148" s="438"/>
      <c r="H148" s="438"/>
      <c r="I148" s="89"/>
      <c r="J148" s="55"/>
      <c r="K148" s="55"/>
      <c r="L148" s="445"/>
      <c r="M148" s="445"/>
      <c r="N148" s="446"/>
    </row>
    <row r="149" spans="1:17" x14ac:dyDescent="0.3">
      <c r="A149" s="468" t="s">
        <v>1</v>
      </c>
      <c r="B149" s="434"/>
      <c r="C149" s="434"/>
      <c r="D149" s="434"/>
      <c r="E149" s="423">
        <f>SUM(E138:E148)</f>
        <v>592267000</v>
      </c>
      <c r="F149" s="189"/>
      <c r="G149" s="55"/>
      <c r="H149" s="438"/>
      <c r="I149" s="89"/>
      <c r="J149" s="55"/>
      <c r="K149" s="55"/>
      <c r="L149" s="445"/>
      <c r="M149" s="445"/>
      <c r="N149" s="446"/>
      <c r="O149" s="67"/>
      <c r="P149" s="67"/>
    </row>
    <row r="150" spans="1:17" x14ac:dyDescent="0.3">
      <c r="A150" s="26"/>
      <c r="B150" s="67"/>
      <c r="C150" s="420"/>
      <c r="D150" s="102"/>
      <c r="E150" s="102"/>
      <c r="F150" s="105"/>
      <c r="G150" s="67"/>
      <c r="H150" s="67"/>
      <c r="I150" s="102"/>
      <c r="J150" s="67"/>
      <c r="K150" s="67"/>
      <c r="L150" s="67"/>
      <c r="M150" s="67"/>
      <c r="N150" s="67"/>
    </row>
    <row r="151" spans="1:17" x14ac:dyDescent="0.3">
      <c r="A151" s="67"/>
      <c r="B151" s="67"/>
      <c r="C151" s="67"/>
      <c r="D151" s="67"/>
      <c r="E151" s="67"/>
      <c r="F151" s="67"/>
      <c r="G151" s="67"/>
      <c r="H151" s="67"/>
      <c r="I151" s="67"/>
      <c r="J151" s="67"/>
      <c r="K151" s="67"/>
    </row>
    <row r="152" spans="1:17" x14ac:dyDescent="0.3">
      <c r="A152" s="187" t="s">
        <v>232</v>
      </c>
      <c r="B152" s="187"/>
      <c r="C152" s="187"/>
      <c r="D152" s="187"/>
      <c r="E152" s="187"/>
    </row>
    <row r="172" spans="1:1" x14ac:dyDescent="0.3">
      <c r="A172"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69"/>
  <sheetViews>
    <sheetView workbookViewId="0">
      <selection activeCell="F147" sqref="F147"/>
    </sheetView>
  </sheetViews>
  <sheetFormatPr baseColWidth="10" defaultRowHeight="14.5" x14ac:dyDescent="0.35"/>
  <cols>
    <col min="1" max="1" width="54" customWidth="1"/>
    <col min="2" max="3" width="23" bestFit="1" customWidth="1"/>
    <col min="4" max="4" width="24.26953125" customWidth="1"/>
    <col min="5" max="5" width="25.1796875" customWidth="1"/>
    <col min="6" max="6" width="24.1796875" bestFit="1" customWidth="1"/>
    <col min="7" max="7" width="22.26953125" bestFit="1" customWidth="1"/>
    <col min="8" max="8" width="22.26953125" customWidth="1"/>
    <col min="9" max="11" width="22.26953125" bestFit="1" customWidth="1"/>
    <col min="12" max="12" width="23.54296875" bestFit="1" customWidth="1"/>
    <col min="13" max="13" width="24.81640625" bestFit="1" customWidth="1"/>
    <col min="14" max="14" width="17.26953125" bestFit="1" customWidth="1"/>
  </cols>
  <sheetData>
    <row r="1" spans="1:14" ht="15.5" x14ac:dyDescent="0.35">
      <c r="A1" s="273" t="s">
        <v>85</v>
      </c>
      <c r="B1" s="270"/>
      <c r="C1" s="270"/>
      <c r="D1" s="347"/>
      <c r="E1" s="270"/>
      <c r="F1" s="67"/>
      <c r="G1" s="67"/>
      <c r="H1" s="67"/>
      <c r="I1" s="67"/>
      <c r="J1" s="67"/>
      <c r="K1" s="67"/>
      <c r="L1" s="67"/>
      <c r="M1" s="67"/>
      <c r="N1" s="53"/>
    </row>
    <row r="2" spans="1:14" x14ac:dyDescent="0.35">
      <c r="A2" s="270" t="s">
        <v>0</v>
      </c>
      <c r="B2" s="114">
        <v>42643</v>
      </c>
      <c r="C2" s="53"/>
      <c r="D2" s="54"/>
      <c r="E2" s="270"/>
      <c r="F2" s="67"/>
      <c r="G2" s="67"/>
      <c r="H2" s="67"/>
      <c r="I2" s="67"/>
      <c r="J2" s="67"/>
      <c r="K2" s="67"/>
      <c r="L2" s="67"/>
      <c r="M2" s="67"/>
      <c r="N2" s="53"/>
    </row>
    <row r="3" spans="1:14" x14ac:dyDescent="0.35">
      <c r="A3" s="270" t="s">
        <v>2</v>
      </c>
      <c r="B3" s="115" t="s">
        <v>3</v>
      </c>
      <c r="C3" s="53"/>
      <c r="D3" s="54"/>
      <c r="E3" s="270"/>
      <c r="F3" s="67"/>
      <c r="G3" s="55"/>
      <c r="H3" s="55"/>
      <c r="I3" s="67"/>
      <c r="J3" s="67"/>
      <c r="K3" s="67"/>
      <c r="L3" s="67"/>
      <c r="M3" s="67"/>
      <c r="N3" s="53"/>
    </row>
    <row r="4" spans="1:14" x14ac:dyDescent="0.35">
      <c r="A4" s="270"/>
      <c r="B4" s="270"/>
      <c r="C4" s="270"/>
      <c r="D4" s="347"/>
      <c r="E4" s="270"/>
      <c r="F4" s="67"/>
      <c r="G4" s="55"/>
      <c r="H4" s="55"/>
      <c r="I4" s="67"/>
      <c r="J4" s="67"/>
      <c r="K4" s="67"/>
      <c r="L4" s="67"/>
      <c r="M4" s="67"/>
      <c r="N4" s="53"/>
    </row>
    <row r="5" spans="1:14" x14ac:dyDescent="0.35">
      <c r="A5" s="258" t="s">
        <v>72</v>
      </c>
      <c r="B5" s="187"/>
      <c r="C5" s="257"/>
      <c r="D5" s="257"/>
      <c r="E5" s="257"/>
      <c r="F5" s="257"/>
      <c r="G5" s="55"/>
      <c r="H5" s="55"/>
      <c r="I5" s="295"/>
      <c r="J5" s="295"/>
      <c r="K5" s="67"/>
      <c r="L5" s="67"/>
      <c r="M5" s="67"/>
      <c r="N5" s="53"/>
    </row>
    <row r="6" spans="1:14" x14ac:dyDescent="0.35">
      <c r="A6" s="256"/>
      <c r="B6" s="256" t="s">
        <v>1</v>
      </c>
      <c r="C6" s="259"/>
      <c r="D6" s="259"/>
      <c r="E6" s="255"/>
      <c r="F6" s="254"/>
      <c r="G6" s="254"/>
      <c r="H6" s="254"/>
      <c r="I6" s="295"/>
      <c r="J6" s="295"/>
      <c r="K6" s="67"/>
      <c r="L6" s="67"/>
      <c r="M6" s="67"/>
      <c r="N6" s="53"/>
    </row>
    <row r="7" spans="1:14" x14ac:dyDescent="0.35">
      <c r="A7" s="265" t="s">
        <v>77</v>
      </c>
      <c r="B7" s="286">
        <v>6456400391</v>
      </c>
      <c r="C7" s="263"/>
      <c r="D7" s="174"/>
      <c r="E7" s="267"/>
      <c r="F7" s="266"/>
      <c r="G7" s="55"/>
      <c r="H7" s="55"/>
      <c r="I7" s="67"/>
      <c r="J7" s="67"/>
      <c r="K7" s="67"/>
      <c r="L7" s="67"/>
      <c r="M7" s="67"/>
      <c r="N7" s="53"/>
    </row>
    <row r="8" spans="1:14" x14ac:dyDescent="0.35">
      <c r="A8" s="265" t="s">
        <v>78</v>
      </c>
      <c r="B8" s="335">
        <f>+B7/B9</f>
        <v>1242571.2838722095</v>
      </c>
      <c r="C8" s="263"/>
      <c r="D8" s="175"/>
      <c r="E8" s="267"/>
      <c r="F8" s="266"/>
      <c r="G8" s="55"/>
      <c r="H8" s="55"/>
      <c r="I8" s="67"/>
      <c r="J8" s="67"/>
      <c r="K8" s="67"/>
      <c r="L8" s="67"/>
      <c r="M8" s="67"/>
      <c r="N8" s="53"/>
    </row>
    <row r="9" spans="1:14" x14ac:dyDescent="0.35">
      <c r="A9" s="265" t="s">
        <v>73</v>
      </c>
      <c r="B9" s="335">
        <v>5196</v>
      </c>
      <c r="C9" s="263"/>
      <c r="D9" s="174"/>
      <c r="E9" s="267"/>
      <c r="F9" s="266"/>
      <c r="G9" s="55"/>
      <c r="H9" s="55"/>
      <c r="I9" s="67"/>
      <c r="J9" s="67"/>
      <c r="K9" s="67"/>
      <c r="L9" s="67"/>
      <c r="M9" s="67"/>
      <c r="N9" s="53"/>
    </row>
    <row r="10" spans="1:14" x14ac:dyDescent="0.35">
      <c r="A10" s="265" t="s">
        <v>79</v>
      </c>
      <c r="B10" s="338">
        <v>1.06E-2</v>
      </c>
      <c r="C10" s="263"/>
      <c r="D10" s="268"/>
      <c r="E10" s="267"/>
      <c r="F10" s="266"/>
      <c r="G10" s="55"/>
      <c r="H10" s="55"/>
      <c r="I10" s="67"/>
      <c r="J10" s="67"/>
      <c r="K10" s="67"/>
      <c r="L10" s="67"/>
      <c r="M10" s="67"/>
      <c r="N10" s="53"/>
    </row>
    <row r="11" spans="1:14" x14ac:dyDescent="0.35">
      <c r="A11" s="265" t="s">
        <v>74</v>
      </c>
      <c r="B11" s="335">
        <v>42</v>
      </c>
      <c r="C11" s="348"/>
      <c r="D11" s="349"/>
      <c r="E11" s="350"/>
      <c r="F11" s="266"/>
      <c r="G11" s="55"/>
      <c r="H11" s="55"/>
      <c r="I11" s="67"/>
      <c r="J11" s="67"/>
      <c r="K11" s="67"/>
      <c r="L11" s="67"/>
      <c r="M11" s="67"/>
      <c r="N11" s="53"/>
    </row>
    <row r="12" spans="1:14" x14ac:dyDescent="0.35">
      <c r="A12" s="265" t="s">
        <v>81</v>
      </c>
      <c r="B12" s="335">
        <v>165</v>
      </c>
      <c r="C12" s="348"/>
      <c r="D12" s="349"/>
      <c r="E12" s="350"/>
      <c r="F12" s="266"/>
      <c r="G12" s="55"/>
      <c r="H12" s="55"/>
      <c r="I12" s="67"/>
      <c r="J12" s="67"/>
      <c r="K12" s="67"/>
      <c r="L12" s="67"/>
      <c r="M12" s="67"/>
      <c r="N12" s="53"/>
    </row>
    <row r="13" spans="1:14" x14ac:dyDescent="0.35">
      <c r="A13" s="265" t="s">
        <v>75</v>
      </c>
      <c r="B13" s="335">
        <v>5078</v>
      </c>
      <c r="C13" s="339"/>
      <c r="D13" s="268"/>
      <c r="E13" s="267"/>
      <c r="F13" s="266"/>
      <c r="G13" s="55"/>
      <c r="H13" s="55"/>
      <c r="I13" s="295"/>
      <c r="J13" s="295"/>
      <c r="K13" s="67"/>
      <c r="L13" s="67"/>
      <c r="M13" s="67"/>
      <c r="N13" s="53"/>
    </row>
    <row r="14" spans="1:14" x14ac:dyDescent="0.35">
      <c r="A14" s="265" t="s">
        <v>196</v>
      </c>
      <c r="B14" s="338">
        <v>0.52669999999999995</v>
      </c>
      <c r="C14" s="339"/>
      <c r="D14" s="268"/>
      <c r="E14" s="267"/>
      <c r="F14" s="266"/>
      <c r="G14" s="55"/>
      <c r="H14" s="55"/>
      <c r="I14" s="295"/>
      <c r="J14" s="295"/>
      <c r="K14" s="67"/>
      <c r="L14" s="67"/>
      <c r="M14" s="67"/>
      <c r="N14" s="53"/>
    </row>
    <row r="15" spans="1:14" x14ac:dyDescent="0.35">
      <c r="A15" s="265" t="s">
        <v>83</v>
      </c>
      <c r="B15" s="269">
        <v>1</v>
      </c>
      <c r="C15" s="339"/>
      <c r="D15" s="268"/>
      <c r="E15" s="267"/>
      <c r="F15" s="266"/>
      <c r="G15" s="55"/>
      <c r="H15" s="55"/>
      <c r="I15" s="295"/>
      <c r="J15" s="295"/>
      <c r="K15" s="67"/>
      <c r="L15" s="67"/>
      <c r="M15" s="67"/>
      <c r="N15" s="53"/>
    </row>
    <row r="16" spans="1:14" x14ac:dyDescent="0.35">
      <c r="A16" s="265" t="s">
        <v>86</v>
      </c>
      <c r="B16" s="269">
        <v>1</v>
      </c>
      <c r="C16" s="339"/>
      <c r="D16" s="268"/>
      <c r="E16" s="267"/>
      <c r="F16" s="266"/>
      <c r="G16" s="55"/>
      <c r="H16" s="55"/>
      <c r="I16" s="295"/>
      <c r="J16" s="295"/>
      <c r="K16" s="67"/>
      <c r="L16" s="67"/>
      <c r="M16" s="67"/>
      <c r="N16" s="53"/>
    </row>
    <row r="17" spans="1:14" x14ac:dyDescent="0.35">
      <c r="A17" s="265" t="s">
        <v>84</v>
      </c>
      <c r="B17" s="265">
        <v>1E-4</v>
      </c>
      <c r="C17" s="339"/>
      <c r="D17" s="349">
        <v>6.22</v>
      </c>
      <c r="E17" s="350"/>
      <c r="F17" s="351"/>
      <c r="G17" s="55"/>
      <c r="H17" s="55"/>
      <c r="I17" s="295"/>
      <c r="J17" s="295"/>
      <c r="K17" s="67"/>
      <c r="L17" s="67"/>
      <c r="M17" s="67"/>
      <c r="N17" s="53"/>
    </row>
    <row r="18" spans="1:14" x14ac:dyDescent="0.35">
      <c r="A18" s="265" t="s">
        <v>49</v>
      </c>
      <c r="B18" s="123">
        <v>559108000</v>
      </c>
      <c r="C18" s="339"/>
      <c r="D18" s="348"/>
      <c r="E18" s="352"/>
      <c r="F18" s="353"/>
      <c r="G18" s="306"/>
      <c r="H18" s="297"/>
      <c r="I18" s="297"/>
      <c r="J18" s="189"/>
      <c r="K18" s="67"/>
      <c r="L18" s="67"/>
      <c r="M18" s="67"/>
      <c r="N18" s="53"/>
    </row>
    <row r="19" spans="1:14" x14ac:dyDescent="0.35">
      <c r="A19" s="262" t="s">
        <v>80</v>
      </c>
      <c r="B19" s="58">
        <f>6987394367+44495000</f>
        <v>7031889367</v>
      </c>
      <c r="C19" s="343"/>
      <c r="D19" s="340" t="s">
        <v>234</v>
      </c>
      <c r="E19" s="318" t="s">
        <v>235</v>
      </c>
      <c r="F19" s="353"/>
      <c r="G19" s="307"/>
      <c r="H19" s="297"/>
      <c r="I19" s="297"/>
      <c r="J19" s="189"/>
      <c r="K19" s="67"/>
      <c r="L19" s="67"/>
      <c r="M19" s="67"/>
      <c r="N19" s="53"/>
    </row>
    <row r="20" spans="1:14" x14ac:dyDescent="0.35">
      <c r="A20" s="341" t="s">
        <v>197</v>
      </c>
      <c r="B20" s="342">
        <f>$B$19/E20-1</f>
        <v>0.16527211852024681</v>
      </c>
      <c r="C20" s="343"/>
      <c r="D20" s="312">
        <v>34309633.359999999</v>
      </c>
      <c r="E20" s="318">
        <v>6034547000</v>
      </c>
      <c r="F20" s="353"/>
      <c r="G20" s="307"/>
      <c r="H20" s="297"/>
      <c r="I20" s="297"/>
      <c r="J20" s="189"/>
      <c r="K20" s="67"/>
      <c r="L20" s="67"/>
      <c r="M20" s="67"/>
      <c r="N20" s="53"/>
    </row>
    <row r="21" spans="1:14" x14ac:dyDescent="0.35">
      <c r="A21" s="341" t="s">
        <v>198</v>
      </c>
      <c r="B21" s="342">
        <f>($B$19-D21)/E20-1</f>
        <v>0.11507369686407265</v>
      </c>
      <c r="C21" s="343"/>
      <c r="D21" s="318">
        <v>302924734.81</v>
      </c>
      <c r="E21" s="318"/>
      <c r="F21" s="353"/>
      <c r="G21" s="307"/>
      <c r="H21" s="297"/>
      <c r="I21" s="297"/>
      <c r="J21" s="189"/>
      <c r="K21" s="67"/>
      <c r="L21" s="67"/>
      <c r="M21" s="67"/>
      <c r="N21" s="53"/>
    </row>
    <row r="22" spans="1:14" x14ac:dyDescent="0.35">
      <c r="A22" s="341" t="s">
        <v>233</v>
      </c>
      <c r="B22" s="342">
        <f>($B$19-D22)/E20-1</f>
        <v>5.1796266409060987E-2</v>
      </c>
      <c r="C22" s="343"/>
      <c r="D22" s="318">
        <v>684775362.92999995</v>
      </c>
      <c r="E22" s="318"/>
      <c r="F22" s="353"/>
      <c r="G22" s="307"/>
      <c r="H22" s="297"/>
      <c r="I22" s="297"/>
      <c r="J22" s="189"/>
      <c r="K22" s="67"/>
      <c r="L22" s="67"/>
      <c r="M22" s="67"/>
      <c r="N22" s="53"/>
    </row>
    <row r="23" spans="1:14" x14ac:dyDescent="0.35">
      <c r="A23" s="259"/>
      <c r="B23" s="60"/>
      <c r="C23" s="340"/>
      <c r="D23" s="340"/>
      <c r="E23" s="318"/>
      <c r="F23" s="353"/>
      <c r="G23" s="306"/>
      <c r="H23" s="297"/>
      <c r="I23" s="297"/>
      <c r="J23" s="189"/>
      <c r="K23" s="55"/>
      <c r="L23" s="55"/>
      <c r="M23" s="55"/>
      <c r="N23" s="54"/>
    </row>
    <row r="24" spans="1:14" x14ac:dyDescent="0.35">
      <c r="A24" s="53"/>
      <c r="B24" s="53"/>
      <c r="C24" s="53"/>
      <c r="D24" s="337"/>
      <c r="E24" s="354"/>
      <c r="F24" s="321"/>
      <c r="G24" s="67"/>
      <c r="H24" s="297"/>
      <c r="I24" s="297"/>
      <c r="J24" s="189"/>
      <c r="K24" s="67"/>
      <c r="L24" s="67"/>
      <c r="M24" s="67"/>
      <c r="N24" s="53"/>
    </row>
    <row r="25" spans="1:14" x14ac:dyDescent="0.35">
      <c r="A25" s="258" t="s">
        <v>71</v>
      </c>
      <c r="B25" s="187"/>
      <c r="C25" s="258"/>
      <c r="D25" s="187"/>
      <c r="E25" s="257"/>
      <c r="F25" s="186"/>
      <c r="G25" s="67"/>
      <c r="H25" s="297"/>
      <c r="I25" s="297"/>
      <c r="J25" s="189"/>
      <c r="K25" s="67"/>
      <c r="L25" s="67"/>
      <c r="M25" s="67"/>
      <c r="N25" s="53"/>
    </row>
    <row r="26" spans="1:14" x14ac:dyDescent="0.35">
      <c r="A26" s="256"/>
      <c r="B26" s="256"/>
      <c r="C26" s="256"/>
      <c r="D26" s="256"/>
      <c r="E26" s="255"/>
      <c r="F26" s="186"/>
      <c r="G26" s="67"/>
      <c r="H26" s="297"/>
      <c r="I26" s="297"/>
      <c r="J26" s="189"/>
      <c r="K26" s="67"/>
      <c r="L26" s="67"/>
      <c r="M26" s="67"/>
      <c r="N26" s="53"/>
    </row>
    <row r="27" spans="1:14" x14ac:dyDescent="0.35">
      <c r="A27" s="9" t="s">
        <v>16</v>
      </c>
      <c r="B27" s="10" t="s">
        <v>4</v>
      </c>
      <c r="C27" s="10" t="s">
        <v>5</v>
      </c>
      <c r="D27" s="63" t="s">
        <v>17</v>
      </c>
      <c r="E27" s="54"/>
      <c r="F27" s="186"/>
      <c r="G27" s="186"/>
      <c r="H27" s="297"/>
      <c r="I27" s="297"/>
      <c r="J27" s="189"/>
      <c r="K27" s="67"/>
      <c r="L27" s="67"/>
      <c r="M27" s="67"/>
      <c r="N27" s="53"/>
    </row>
    <row r="28" spans="1:14" x14ac:dyDescent="0.35">
      <c r="A28" s="6" t="s">
        <v>6</v>
      </c>
      <c r="B28" s="126">
        <v>1583381188.2400024</v>
      </c>
      <c r="C28" s="129">
        <v>2255</v>
      </c>
      <c r="D28" s="196">
        <f t="shared" ref="D28:D37" si="0">B28/$B$40</f>
        <v>0.24524209968469948</v>
      </c>
      <c r="E28" s="355"/>
      <c r="F28" s="186"/>
      <c r="G28" s="186"/>
      <c r="H28" s="297"/>
      <c r="I28" s="298"/>
      <c r="J28" s="189"/>
      <c r="K28" s="67"/>
      <c r="L28" s="67"/>
      <c r="M28" s="67"/>
      <c r="N28" s="53"/>
    </row>
    <row r="29" spans="1:14" x14ac:dyDescent="0.35">
      <c r="A29" s="6" t="s">
        <v>7</v>
      </c>
      <c r="B29" s="126">
        <v>939969755.44000041</v>
      </c>
      <c r="C29" s="129">
        <v>713</v>
      </c>
      <c r="D29" s="196">
        <f t="shared" si="0"/>
        <v>0.14558727751493147</v>
      </c>
      <c r="E29" s="355"/>
      <c r="F29" s="257"/>
      <c r="G29" s="257"/>
      <c r="H29" s="257"/>
      <c r="I29" s="257"/>
      <c r="J29" s="189"/>
      <c r="K29" s="67"/>
      <c r="L29" s="67"/>
      <c r="M29" s="67"/>
      <c r="N29" s="53"/>
    </row>
    <row r="30" spans="1:14" x14ac:dyDescent="0.35">
      <c r="A30" s="6" t="s">
        <v>8</v>
      </c>
      <c r="B30" s="126">
        <v>1293649620.7900009</v>
      </c>
      <c r="C30" s="129">
        <v>826</v>
      </c>
      <c r="D30" s="196">
        <f t="shared" si="0"/>
        <v>0.20036700676701896</v>
      </c>
      <c r="E30" s="355"/>
      <c r="F30" s="259"/>
      <c r="G30" s="259"/>
      <c r="H30" s="259"/>
      <c r="I30" s="259"/>
      <c r="J30" s="189"/>
      <c r="K30" s="67"/>
      <c r="L30" s="67"/>
      <c r="M30" s="67"/>
      <c r="N30" s="53"/>
    </row>
    <row r="31" spans="1:14" x14ac:dyDescent="0.35">
      <c r="A31" s="6" t="s">
        <v>9</v>
      </c>
      <c r="B31" s="126">
        <v>1577688188.7499993</v>
      </c>
      <c r="C31" s="129">
        <v>889</v>
      </c>
      <c r="D31" s="196">
        <f t="shared" si="0"/>
        <v>0.24436033908352411</v>
      </c>
      <c r="E31" s="355"/>
      <c r="F31" s="316"/>
      <c r="G31" s="317"/>
      <c r="H31" s="317"/>
      <c r="I31" s="176"/>
      <c r="J31" s="189"/>
      <c r="K31" s="67"/>
      <c r="L31" s="67"/>
      <c r="M31" s="67"/>
      <c r="N31" s="53"/>
    </row>
    <row r="32" spans="1:14" x14ac:dyDescent="0.35">
      <c r="A32" s="6" t="s">
        <v>140</v>
      </c>
      <c r="B32" s="126">
        <v>957309519.12</v>
      </c>
      <c r="C32" s="129">
        <v>468</v>
      </c>
      <c r="D32" s="196">
        <f t="shared" si="0"/>
        <v>0.14827294795519128</v>
      </c>
      <c r="E32" s="355"/>
      <c r="F32" s="304"/>
      <c r="G32" s="297"/>
      <c r="H32" s="297"/>
      <c r="I32" s="263"/>
      <c r="J32" s="189"/>
      <c r="K32" s="67"/>
      <c r="L32" s="67"/>
      <c r="M32" s="67"/>
      <c r="N32" s="53"/>
    </row>
    <row r="33" spans="1:14" x14ac:dyDescent="0.35">
      <c r="A33" s="6" t="s">
        <v>141</v>
      </c>
      <c r="B33" s="126">
        <v>35518667.259999998</v>
      </c>
      <c r="C33" s="129">
        <v>15</v>
      </c>
      <c r="D33" s="196">
        <f t="shared" si="0"/>
        <v>5.5013111192301622E-3</v>
      </c>
      <c r="E33" s="355"/>
      <c r="F33" s="304"/>
      <c r="G33" s="297"/>
      <c r="H33" s="297"/>
      <c r="I33" s="263"/>
      <c r="J33" s="345"/>
      <c r="K33" s="67"/>
      <c r="L33" s="67"/>
      <c r="M33" s="67"/>
      <c r="N33" s="53"/>
    </row>
    <row r="34" spans="1:14" x14ac:dyDescent="0.35">
      <c r="A34" s="6" t="s">
        <v>10</v>
      </c>
      <c r="B34" s="126">
        <v>11723220.960000001</v>
      </c>
      <c r="C34" s="129">
        <v>4</v>
      </c>
      <c r="D34" s="196">
        <f t="shared" si="0"/>
        <v>1.8157518509448742E-3</v>
      </c>
      <c r="E34" s="355"/>
      <c r="F34" s="304"/>
      <c r="G34" s="297"/>
      <c r="H34" s="297"/>
      <c r="I34" s="263"/>
      <c r="J34" s="295"/>
      <c r="K34" s="67"/>
      <c r="L34" s="67"/>
      <c r="M34" s="67"/>
      <c r="N34" s="53"/>
    </row>
    <row r="35" spans="1:14" x14ac:dyDescent="0.35">
      <c r="A35" s="6" t="s">
        <v>11</v>
      </c>
      <c r="B35" s="134">
        <v>1730795</v>
      </c>
      <c r="C35" s="135">
        <v>2</v>
      </c>
      <c r="D35" s="196">
        <f t="shared" si="0"/>
        <v>2.680742976336542E-4</v>
      </c>
      <c r="E35" s="355"/>
      <c r="F35" s="304"/>
      <c r="G35" s="297"/>
      <c r="H35" s="297"/>
      <c r="I35" s="263"/>
      <c r="J35" s="67"/>
      <c r="K35" s="67"/>
      <c r="L35" s="67"/>
      <c r="M35" s="67"/>
      <c r="N35" s="53"/>
    </row>
    <row r="36" spans="1:14" x14ac:dyDescent="0.35">
      <c r="A36" s="6" t="s">
        <v>12</v>
      </c>
      <c r="B36" s="130">
        <v>2574999</v>
      </c>
      <c r="C36" s="131">
        <v>2</v>
      </c>
      <c r="D36" s="196">
        <f t="shared" si="0"/>
        <v>3.9882888980633869E-4</v>
      </c>
      <c r="E36" s="355"/>
      <c r="F36" s="304"/>
      <c r="G36" s="297"/>
      <c r="H36" s="297"/>
      <c r="I36" s="263"/>
      <c r="J36" s="67"/>
      <c r="K36" s="67"/>
      <c r="L36" s="67"/>
      <c r="M36" s="67"/>
      <c r="N36" s="53"/>
    </row>
    <row r="37" spans="1:14" x14ac:dyDescent="0.35">
      <c r="A37" s="6" t="s">
        <v>13</v>
      </c>
      <c r="B37" s="130">
        <v>4619388</v>
      </c>
      <c r="C37" s="131">
        <v>2</v>
      </c>
      <c r="D37" s="196">
        <f t="shared" si="0"/>
        <v>7.1547421479570402E-4</v>
      </c>
      <c r="E37" s="355"/>
      <c r="F37" s="304"/>
      <c r="G37" s="297"/>
      <c r="H37" s="297"/>
      <c r="I37" s="263"/>
      <c r="J37" s="67"/>
      <c r="K37" s="67"/>
      <c r="L37" s="67"/>
      <c r="M37" s="67"/>
      <c r="N37" s="53"/>
    </row>
    <row r="38" spans="1:14" x14ac:dyDescent="0.35">
      <c r="A38" s="6" t="s">
        <v>14</v>
      </c>
      <c r="B38" s="130">
        <v>6794526</v>
      </c>
      <c r="C38" s="131">
        <v>3</v>
      </c>
      <c r="D38" s="196">
        <f>B38/$B$40</f>
        <v>1.052370607266373E-3</v>
      </c>
      <c r="E38" s="355"/>
      <c r="F38" s="304"/>
      <c r="G38" s="297"/>
      <c r="H38" s="297"/>
      <c r="I38" s="263"/>
      <c r="J38" s="67"/>
      <c r="K38" s="67"/>
      <c r="L38" s="67"/>
      <c r="M38" s="67"/>
      <c r="N38" s="53"/>
    </row>
    <row r="39" spans="1:14" ht="15" thickBot="1" x14ac:dyDescent="0.4">
      <c r="A39" s="4" t="s">
        <v>15</v>
      </c>
      <c r="B39" s="132">
        <v>41440522.219999991</v>
      </c>
      <c r="C39" s="287">
        <v>17</v>
      </c>
      <c r="D39" s="192">
        <f>B39/$B$40</f>
        <v>6.4185180149574838E-3</v>
      </c>
      <c r="E39" s="355"/>
      <c r="F39" s="304"/>
      <c r="G39" s="298"/>
      <c r="H39" s="298"/>
      <c r="I39" s="263"/>
      <c r="J39" s="67"/>
      <c r="K39" s="67"/>
      <c r="L39" s="67"/>
      <c r="M39" s="67"/>
      <c r="N39" s="53"/>
    </row>
    <row r="40" spans="1:14" ht="15" thickTop="1" x14ac:dyDescent="0.35">
      <c r="A40" s="1" t="s">
        <v>1</v>
      </c>
      <c r="B40" s="18">
        <f>SUM(B28:B39)</f>
        <v>6456400390.7800035</v>
      </c>
      <c r="C40" s="133">
        <f>SUM(C28:C39)</f>
        <v>5196</v>
      </c>
      <c r="D40" s="344">
        <f>SUM(D28:D39)</f>
        <v>0.99999999999999978</v>
      </c>
      <c r="E40" s="355"/>
      <c r="F40" s="304"/>
      <c r="G40" s="299"/>
      <c r="H40" s="299"/>
      <c r="I40" s="263"/>
      <c r="J40" s="53"/>
      <c r="K40" s="53"/>
      <c r="L40" s="53"/>
      <c r="M40" s="53"/>
      <c r="N40" s="53"/>
    </row>
    <row r="41" spans="1:14" x14ac:dyDescent="0.35">
      <c r="A41" s="53"/>
      <c r="B41" s="53"/>
      <c r="C41" s="53"/>
      <c r="D41" s="53"/>
      <c r="E41" s="54"/>
      <c r="F41" s="304"/>
      <c r="G41" s="299"/>
      <c r="H41" s="299"/>
      <c r="I41" s="263"/>
      <c r="J41" s="53"/>
      <c r="K41" s="53"/>
      <c r="L41" s="53"/>
      <c r="M41" s="53"/>
      <c r="N41" s="53"/>
    </row>
    <row r="42" spans="1:14" x14ac:dyDescent="0.35">
      <c r="A42" s="53"/>
      <c r="B42" s="53"/>
      <c r="C42" s="53"/>
      <c r="D42" s="53"/>
      <c r="E42" s="54"/>
      <c r="F42" s="304"/>
      <c r="G42" s="299"/>
      <c r="H42" s="299"/>
      <c r="I42" s="263"/>
      <c r="J42" s="53"/>
      <c r="K42" s="53"/>
      <c r="L42" s="53"/>
      <c r="M42" s="53"/>
      <c r="N42" s="53"/>
    </row>
    <row r="43" spans="1:14" x14ac:dyDescent="0.35">
      <c r="A43" s="258" t="s">
        <v>218</v>
      </c>
      <c r="B43" s="187"/>
      <c r="C43" s="258"/>
      <c r="D43" s="187"/>
      <c r="E43" s="54"/>
      <c r="F43" s="304"/>
      <c r="G43" s="299"/>
      <c r="H43" s="299"/>
      <c r="I43" s="263"/>
      <c r="J43" s="53"/>
      <c r="K43" s="53"/>
      <c r="L43" s="53"/>
      <c r="M43" s="53"/>
      <c r="N43" s="53"/>
    </row>
    <row r="44" spans="1:14" x14ac:dyDescent="0.35">
      <c r="A44" s="256"/>
      <c r="B44" s="256"/>
      <c r="C44" s="256"/>
      <c r="D44" s="256"/>
      <c r="E44" s="54"/>
      <c r="F44" s="304"/>
      <c r="G44" s="301"/>
      <c r="H44" s="302"/>
      <c r="I44" s="345"/>
      <c r="J44" s="53"/>
      <c r="K44" s="53"/>
      <c r="L44" s="53"/>
      <c r="M44" s="53"/>
      <c r="N44" s="53"/>
    </row>
    <row r="45" spans="1:14" x14ac:dyDescent="0.35">
      <c r="A45" s="9" t="s">
        <v>219</v>
      </c>
      <c r="B45" s="10" t="s">
        <v>4</v>
      </c>
      <c r="C45" s="10" t="s">
        <v>5</v>
      </c>
      <c r="D45" s="63" t="s">
        <v>17</v>
      </c>
      <c r="E45" s="54"/>
      <c r="F45" s="53"/>
      <c r="G45" s="53"/>
      <c r="H45" s="53"/>
      <c r="I45" s="53"/>
      <c r="J45" s="53"/>
      <c r="K45" s="53"/>
      <c r="L45" s="53"/>
      <c r="M45" s="53"/>
      <c r="N45" s="53"/>
    </row>
    <row r="46" spans="1:14" x14ac:dyDescent="0.35">
      <c r="A46" s="6" t="s">
        <v>220</v>
      </c>
      <c r="B46" s="126">
        <v>206301924.12</v>
      </c>
      <c r="C46" s="129">
        <v>1383</v>
      </c>
      <c r="D46" s="196">
        <f>B46/$B$40</f>
        <v>3.1953087112535236E-2</v>
      </c>
      <c r="E46" s="356"/>
      <c r="F46" s="53"/>
      <c r="G46" s="53"/>
      <c r="H46" s="53"/>
      <c r="I46" s="53"/>
      <c r="J46" s="53"/>
      <c r="K46" s="53"/>
      <c r="L46" s="53"/>
      <c r="M46" s="53"/>
      <c r="N46" s="53"/>
    </row>
    <row r="47" spans="1:14" x14ac:dyDescent="0.35">
      <c r="A47" s="6" t="s">
        <v>221</v>
      </c>
      <c r="B47" s="126">
        <v>746439268.71000016</v>
      </c>
      <c r="C47" s="129">
        <v>982</v>
      </c>
      <c r="D47" s="196">
        <f t="shared" ref="D47:D49" si="1">B47/$B$40</f>
        <v>0.11561229532417865</v>
      </c>
      <c r="E47" s="356"/>
      <c r="F47" s="53"/>
      <c r="G47" s="53"/>
      <c r="H47" s="53"/>
      <c r="I47" s="53"/>
      <c r="J47" s="53"/>
      <c r="K47" s="53"/>
      <c r="L47" s="53"/>
      <c r="M47" s="53"/>
      <c r="N47" s="53"/>
    </row>
    <row r="48" spans="1:14" x14ac:dyDescent="0.35">
      <c r="A48" s="6" t="s">
        <v>222</v>
      </c>
      <c r="B48" s="126">
        <v>2580792739.7299972</v>
      </c>
      <c r="C48" s="129">
        <v>1762</v>
      </c>
      <c r="D48" s="196">
        <f t="shared" si="1"/>
        <v>0.39972625356622427</v>
      </c>
      <c r="E48" s="356"/>
      <c r="F48" s="53"/>
      <c r="G48" s="53"/>
      <c r="H48" s="53"/>
      <c r="I48" s="53"/>
      <c r="J48" s="53"/>
      <c r="K48" s="53"/>
      <c r="L48" s="53"/>
      <c r="M48" s="53"/>
      <c r="N48" s="53"/>
    </row>
    <row r="49" spans="1:14" x14ac:dyDescent="0.35">
      <c r="A49" s="6" t="s">
        <v>223</v>
      </c>
      <c r="B49" s="126">
        <v>1890003075.1900001</v>
      </c>
      <c r="C49" s="129">
        <v>792</v>
      </c>
      <c r="D49" s="196">
        <f t="shared" si="1"/>
        <v>0.29273325085120178</v>
      </c>
      <c r="E49" s="356"/>
      <c r="F49" s="53"/>
      <c r="G49" s="53"/>
      <c r="H49" s="53"/>
      <c r="I49" s="53"/>
      <c r="J49" s="53"/>
      <c r="K49" s="53"/>
      <c r="L49" s="53"/>
      <c r="M49" s="53"/>
      <c r="N49" s="53"/>
    </row>
    <row r="50" spans="1:14" ht="15" thickBot="1" x14ac:dyDescent="0.4">
      <c r="A50" s="4" t="s">
        <v>224</v>
      </c>
      <c r="B50" s="132">
        <v>1032863383.03</v>
      </c>
      <c r="C50" s="287">
        <v>277</v>
      </c>
      <c r="D50" s="192">
        <f>B50/$B$40</f>
        <v>0.1599751131458591</v>
      </c>
      <c r="E50" s="356"/>
      <c r="F50" s="53"/>
      <c r="G50" s="53"/>
      <c r="H50" s="53"/>
      <c r="I50" s="53"/>
      <c r="J50" s="53"/>
      <c r="K50" s="53"/>
      <c r="L50" s="53"/>
      <c r="M50" s="53"/>
      <c r="N50" s="53"/>
    </row>
    <row r="51" spans="1:14" ht="15" thickTop="1" x14ac:dyDescent="0.35">
      <c r="A51" s="1" t="s">
        <v>1</v>
      </c>
      <c r="B51" s="18">
        <f>SUM(B46:B50)</f>
        <v>6456400390.7799978</v>
      </c>
      <c r="C51" s="133">
        <f>SUM(C46:C50)</f>
        <v>5196</v>
      </c>
      <c r="D51" s="344">
        <f>SUM(D46:D50)</f>
        <v>0.99999999999999911</v>
      </c>
      <c r="E51" s="54"/>
      <c r="F51" s="53"/>
      <c r="G51" s="53"/>
      <c r="H51" s="53"/>
      <c r="I51" s="53"/>
      <c r="J51" s="53"/>
      <c r="K51" s="53"/>
      <c r="L51" s="53"/>
      <c r="M51" s="53"/>
      <c r="N51" s="53"/>
    </row>
    <row r="52" spans="1:14" x14ac:dyDescent="0.35">
      <c r="A52" s="53"/>
      <c r="B52" s="53"/>
      <c r="C52" s="53"/>
      <c r="D52" s="53"/>
      <c r="E52" s="54"/>
      <c r="F52" s="53"/>
      <c r="G52" s="53"/>
      <c r="H52" s="53"/>
      <c r="I52" s="53"/>
      <c r="J52" s="53"/>
      <c r="K52" s="53"/>
      <c r="L52" s="53"/>
      <c r="M52" s="53"/>
      <c r="N52" s="53"/>
    </row>
    <row r="53" spans="1:14" x14ac:dyDescent="0.35">
      <c r="A53" s="53"/>
      <c r="B53" s="53"/>
      <c r="C53" s="53"/>
      <c r="D53" s="53"/>
      <c r="E53" s="53"/>
      <c r="F53" s="53"/>
      <c r="G53" s="53"/>
      <c r="H53" s="53"/>
      <c r="I53" s="53"/>
      <c r="J53" s="53"/>
      <c r="K53" s="53"/>
      <c r="L53" s="53"/>
      <c r="M53" s="53"/>
      <c r="N53" s="53"/>
    </row>
    <row r="54" spans="1:14" x14ac:dyDescent="0.35">
      <c r="A54" s="187" t="s">
        <v>225</v>
      </c>
      <c r="B54" s="187"/>
      <c r="C54" s="187"/>
      <c r="D54" s="346"/>
      <c r="E54" s="346"/>
      <c r="F54" s="346"/>
      <c r="G54" s="346"/>
      <c r="H54" s="346"/>
      <c r="I54" s="346"/>
      <c r="J54" s="346"/>
      <c r="K54" s="187"/>
      <c r="L54" s="187"/>
      <c r="M54" s="187"/>
      <c r="N54" s="187"/>
    </row>
    <row r="55" spans="1:14" x14ac:dyDescent="0.35">
      <c r="A55" s="107"/>
      <c r="B55" s="155" t="s">
        <v>1</v>
      </c>
      <c r="C55" s="281" t="s">
        <v>18</v>
      </c>
      <c r="D55" s="281" t="s">
        <v>19</v>
      </c>
      <c r="E55" s="281" t="s">
        <v>20</v>
      </c>
      <c r="F55" s="281" t="s">
        <v>21</v>
      </c>
      <c r="G55" s="281" t="s">
        <v>138</v>
      </c>
      <c r="H55" s="281" t="s">
        <v>139</v>
      </c>
      <c r="I55" s="281" t="s">
        <v>22</v>
      </c>
      <c r="J55" s="281" t="s">
        <v>23</v>
      </c>
      <c r="K55" s="313" t="s">
        <v>24</v>
      </c>
      <c r="L55" s="281" t="s">
        <v>25</v>
      </c>
      <c r="M55" s="313" t="s">
        <v>26</v>
      </c>
      <c r="N55" s="281" t="s">
        <v>27</v>
      </c>
    </row>
    <row r="56" spans="1:14" x14ac:dyDescent="0.35">
      <c r="A56" s="153" t="s">
        <v>28</v>
      </c>
      <c r="B56" s="288">
        <f>SUM(C56:N56)</f>
        <v>220344608.76000002</v>
      </c>
      <c r="C56" s="333">
        <v>53931961.170000002</v>
      </c>
      <c r="D56" s="333">
        <v>38801330.789999999</v>
      </c>
      <c r="E56" s="333">
        <v>41326173.189999998</v>
      </c>
      <c r="F56" s="333">
        <v>48172746.650000006</v>
      </c>
      <c r="G56" s="333">
        <v>38112396.960000001</v>
      </c>
      <c r="H56" s="333">
        <v>0</v>
      </c>
      <c r="I56" s="333">
        <v>0</v>
      </c>
      <c r="J56" s="333">
        <v>0</v>
      </c>
      <c r="K56" s="333">
        <v>0</v>
      </c>
      <c r="L56" s="333">
        <v>0</v>
      </c>
      <c r="M56" s="333">
        <v>0</v>
      </c>
      <c r="N56" s="333">
        <v>0</v>
      </c>
    </row>
    <row r="57" spans="1:14" x14ac:dyDescent="0.35">
      <c r="A57" s="154" t="s">
        <v>29</v>
      </c>
      <c r="B57" s="282">
        <f t="shared" ref="B57:B75" si="2">SUM(C57:N57)</f>
        <v>351737566.40999997</v>
      </c>
      <c r="C57" s="333">
        <v>63224406.609999992</v>
      </c>
      <c r="D57" s="333">
        <v>48052923.130000003</v>
      </c>
      <c r="E57" s="333">
        <v>87078375.799999997</v>
      </c>
      <c r="F57" s="333">
        <v>107149341.53</v>
      </c>
      <c r="G57" s="333">
        <v>38497032.510000005</v>
      </c>
      <c r="H57" s="333">
        <v>5498314.7599999998</v>
      </c>
      <c r="I57" s="333">
        <v>2237172.0699999998</v>
      </c>
      <c r="J57" s="333">
        <v>0</v>
      </c>
      <c r="K57" s="333">
        <v>0</v>
      </c>
      <c r="L57" s="333">
        <v>0</v>
      </c>
      <c r="M57" s="333">
        <v>0</v>
      </c>
      <c r="N57" s="333">
        <v>0</v>
      </c>
    </row>
    <row r="58" spans="1:14" x14ac:dyDescent="0.35">
      <c r="A58" s="154" t="s">
        <v>30</v>
      </c>
      <c r="B58" s="282">
        <f t="shared" si="2"/>
        <v>38589762.609999999</v>
      </c>
      <c r="C58" s="333">
        <v>5520862</v>
      </c>
      <c r="D58" s="333">
        <v>5839790.21</v>
      </c>
      <c r="E58" s="333">
        <v>17524600.710000001</v>
      </c>
      <c r="F58" s="333">
        <v>7095370.6899999995</v>
      </c>
      <c r="G58" s="333">
        <v>2609139</v>
      </c>
      <c r="H58" s="333">
        <v>0</v>
      </c>
      <c r="I58" s="333">
        <v>0</v>
      </c>
      <c r="J58" s="333">
        <v>0</v>
      </c>
      <c r="K58" s="333">
        <v>0</v>
      </c>
      <c r="L58" s="333">
        <v>0</v>
      </c>
      <c r="M58" s="333">
        <v>0</v>
      </c>
      <c r="N58" s="333">
        <v>0</v>
      </c>
    </row>
    <row r="59" spans="1:14" x14ac:dyDescent="0.35">
      <c r="A59" s="154" t="s">
        <v>142</v>
      </c>
      <c r="B59" s="282">
        <f t="shared" si="2"/>
        <v>4307938</v>
      </c>
      <c r="C59" s="333">
        <v>0</v>
      </c>
      <c r="D59" s="333">
        <v>0</v>
      </c>
      <c r="E59" s="333">
        <v>0</v>
      </c>
      <c r="F59" s="333">
        <v>1621236</v>
      </c>
      <c r="G59" s="333">
        <v>2686702</v>
      </c>
      <c r="H59" s="333">
        <v>0</v>
      </c>
      <c r="I59" s="333">
        <v>0</v>
      </c>
      <c r="J59" s="333">
        <v>0</v>
      </c>
      <c r="K59" s="333">
        <v>0</v>
      </c>
      <c r="L59" s="333">
        <v>0</v>
      </c>
      <c r="M59" s="333">
        <v>0</v>
      </c>
      <c r="N59" s="333">
        <v>0</v>
      </c>
    </row>
    <row r="60" spans="1:14" x14ac:dyDescent="0.35">
      <c r="A60" s="154" t="s">
        <v>31</v>
      </c>
      <c r="B60" s="282">
        <f t="shared" si="2"/>
        <v>24196790.34</v>
      </c>
      <c r="C60" s="333">
        <v>6399451</v>
      </c>
      <c r="D60" s="333">
        <v>0</v>
      </c>
      <c r="E60" s="333">
        <v>3639307.34</v>
      </c>
      <c r="F60" s="333">
        <v>7257667</v>
      </c>
      <c r="G60" s="333">
        <v>6900365</v>
      </c>
      <c r="H60" s="333">
        <v>0</v>
      </c>
      <c r="I60" s="333">
        <v>0</v>
      </c>
      <c r="J60" s="333">
        <v>0</v>
      </c>
      <c r="K60" s="333">
        <v>0</v>
      </c>
      <c r="L60" s="333">
        <v>0</v>
      </c>
      <c r="M60" s="333">
        <v>0</v>
      </c>
      <c r="N60" s="333">
        <v>0</v>
      </c>
    </row>
    <row r="61" spans="1:14" x14ac:dyDescent="0.35">
      <c r="A61" s="154" t="s">
        <v>32</v>
      </c>
      <c r="B61" s="282">
        <f t="shared" si="2"/>
        <v>538634860.39999998</v>
      </c>
      <c r="C61" s="333">
        <v>139080562.80999997</v>
      </c>
      <c r="D61" s="333">
        <v>66454792.789999999</v>
      </c>
      <c r="E61" s="333">
        <v>132968761</v>
      </c>
      <c r="F61" s="333">
        <v>133733577.79000002</v>
      </c>
      <c r="G61" s="333">
        <v>46625762.700000003</v>
      </c>
      <c r="H61" s="333">
        <v>4499818.59</v>
      </c>
      <c r="I61" s="333">
        <v>2744550.89</v>
      </c>
      <c r="J61" s="333">
        <v>0</v>
      </c>
      <c r="K61" s="333">
        <v>0</v>
      </c>
      <c r="L61" s="333">
        <v>0</v>
      </c>
      <c r="M61" s="333">
        <v>5239051</v>
      </c>
      <c r="N61" s="333">
        <v>7287982.8300000001</v>
      </c>
    </row>
    <row r="62" spans="1:14" x14ac:dyDescent="0.35">
      <c r="A62" s="154" t="s">
        <v>143</v>
      </c>
      <c r="B62" s="282">
        <f t="shared" si="2"/>
        <v>8091383</v>
      </c>
      <c r="C62" s="333">
        <v>2758303</v>
      </c>
      <c r="D62" s="333">
        <v>0</v>
      </c>
      <c r="E62" s="333">
        <v>1521399</v>
      </c>
      <c r="F62" s="333">
        <v>3093608</v>
      </c>
      <c r="G62" s="333">
        <v>0</v>
      </c>
      <c r="H62" s="333">
        <v>0</v>
      </c>
      <c r="I62" s="333">
        <v>0</v>
      </c>
      <c r="J62" s="333">
        <v>0</v>
      </c>
      <c r="K62" s="333">
        <v>0</v>
      </c>
      <c r="L62" s="333">
        <v>718073</v>
      </c>
      <c r="M62" s="333">
        <v>0</v>
      </c>
      <c r="N62" s="333">
        <v>0</v>
      </c>
    </row>
    <row r="63" spans="1:14" x14ac:dyDescent="0.35">
      <c r="A63" s="154" t="s">
        <v>33</v>
      </c>
      <c r="B63" s="282">
        <f t="shared" si="2"/>
        <v>5635400.8899999997</v>
      </c>
      <c r="C63" s="333">
        <v>988364.89</v>
      </c>
      <c r="D63" s="333">
        <v>0</v>
      </c>
      <c r="E63" s="333">
        <v>0</v>
      </c>
      <c r="F63" s="333">
        <v>0</v>
      </c>
      <c r="G63" s="333">
        <v>4647036</v>
      </c>
      <c r="H63" s="333">
        <v>0</v>
      </c>
      <c r="I63" s="333">
        <v>0</v>
      </c>
      <c r="J63" s="333">
        <v>0</v>
      </c>
      <c r="K63" s="333">
        <v>0</v>
      </c>
      <c r="L63" s="333">
        <v>0</v>
      </c>
      <c r="M63" s="333">
        <v>0</v>
      </c>
      <c r="N63" s="333">
        <v>0</v>
      </c>
    </row>
    <row r="64" spans="1:14" x14ac:dyDescent="0.35">
      <c r="A64" s="154" t="s">
        <v>205</v>
      </c>
      <c r="B64" s="282">
        <f t="shared" si="2"/>
        <v>689474</v>
      </c>
      <c r="C64" s="333">
        <v>689474</v>
      </c>
      <c r="D64" s="333">
        <v>0</v>
      </c>
      <c r="E64" s="333">
        <v>0</v>
      </c>
      <c r="F64" s="333">
        <v>0</v>
      </c>
      <c r="G64" s="333">
        <v>0</v>
      </c>
      <c r="H64" s="333">
        <v>0</v>
      </c>
      <c r="I64" s="333">
        <v>0</v>
      </c>
      <c r="J64" s="333">
        <v>0</v>
      </c>
      <c r="K64" s="333">
        <v>0</v>
      </c>
      <c r="L64" s="333">
        <v>0</v>
      </c>
      <c r="M64" s="333">
        <v>0</v>
      </c>
      <c r="N64" s="333">
        <v>0</v>
      </c>
    </row>
    <row r="65" spans="1:14" x14ac:dyDescent="0.35">
      <c r="A65" s="154" t="s">
        <v>34</v>
      </c>
      <c r="B65" s="282">
        <f t="shared" si="2"/>
        <v>8277265.0099999998</v>
      </c>
      <c r="C65" s="333">
        <v>1701213.01</v>
      </c>
      <c r="D65" s="333">
        <v>420787</v>
      </c>
      <c r="E65" s="333">
        <v>1667961</v>
      </c>
      <c r="F65" s="333">
        <v>2311357</v>
      </c>
      <c r="G65" s="333">
        <v>2175947</v>
      </c>
      <c r="H65" s="333">
        <v>0</v>
      </c>
      <c r="I65" s="333">
        <v>0</v>
      </c>
      <c r="J65" s="333">
        <v>0</v>
      </c>
      <c r="K65" s="333">
        <v>0</v>
      </c>
      <c r="L65" s="333">
        <v>0</v>
      </c>
      <c r="M65" s="333">
        <v>0</v>
      </c>
      <c r="N65" s="333">
        <v>0</v>
      </c>
    </row>
    <row r="66" spans="1:14" x14ac:dyDescent="0.35">
      <c r="A66" s="154" t="s">
        <v>35</v>
      </c>
      <c r="B66" s="282">
        <f t="shared" si="2"/>
        <v>222328414.13000003</v>
      </c>
      <c r="C66" s="333">
        <v>78337044.030000016</v>
      </c>
      <c r="D66" s="333">
        <v>30697216.259999998</v>
      </c>
      <c r="E66" s="333">
        <v>44632435.090000004</v>
      </c>
      <c r="F66" s="333">
        <v>43813257.75</v>
      </c>
      <c r="G66" s="333">
        <v>22895677</v>
      </c>
      <c r="H66" s="333">
        <v>1952784</v>
      </c>
      <c r="I66" s="333">
        <v>0</v>
      </c>
      <c r="J66" s="333">
        <v>0</v>
      </c>
      <c r="K66" s="333">
        <v>0</v>
      </c>
      <c r="L66" s="333">
        <v>0</v>
      </c>
      <c r="M66" s="333">
        <v>0</v>
      </c>
      <c r="N66" s="333">
        <v>0</v>
      </c>
    </row>
    <row r="67" spans="1:14" x14ac:dyDescent="0.35">
      <c r="A67" s="154" t="s">
        <v>36</v>
      </c>
      <c r="B67" s="282">
        <f t="shared" si="2"/>
        <v>2916320846.3400002</v>
      </c>
      <c r="C67" s="333">
        <v>684871631.48000038</v>
      </c>
      <c r="D67" s="333">
        <v>406211662.85999995</v>
      </c>
      <c r="E67" s="333">
        <v>559549203.70000029</v>
      </c>
      <c r="F67" s="333">
        <v>694258827.73000002</v>
      </c>
      <c r="G67" s="333">
        <v>522574951.19999999</v>
      </c>
      <c r="H67" s="333">
        <v>18192051.91</v>
      </c>
      <c r="I67" s="333">
        <v>6741498</v>
      </c>
      <c r="J67" s="333">
        <v>1730795</v>
      </c>
      <c r="K67" s="333">
        <v>2574999</v>
      </c>
      <c r="L67" s="333">
        <v>3901315</v>
      </c>
      <c r="M67" s="333">
        <v>1555475</v>
      </c>
      <c r="N67" s="333">
        <v>14158435.459999999</v>
      </c>
    </row>
    <row r="68" spans="1:14" x14ac:dyDescent="0.35">
      <c r="A68" s="154" t="s">
        <v>37</v>
      </c>
      <c r="B68" s="282">
        <f t="shared" si="2"/>
        <v>254261128.75</v>
      </c>
      <c r="C68" s="333">
        <v>65488017.24000001</v>
      </c>
      <c r="D68" s="333">
        <v>59427223.299999997</v>
      </c>
      <c r="E68" s="333">
        <v>55581484.459999993</v>
      </c>
      <c r="F68" s="333">
        <v>57417627.089999996</v>
      </c>
      <c r="G68" s="333">
        <v>16346776.66</v>
      </c>
      <c r="H68" s="333">
        <v>0</v>
      </c>
      <c r="I68" s="333">
        <v>0</v>
      </c>
      <c r="J68" s="333">
        <v>0</v>
      </c>
      <c r="K68" s="333">
        <v>0</v>
      </c>
      <c r="L68" s="333">
        <v>0</v>
      </c>
      <c r="M68" s="333">
        <v>0</v>
      </c>
      <c r="N68" s="333">
        <v>0</v>
      </c>
    </row>
    <row r="69" spans="1:14" x14ac:dyDescent="0.35">
      <c r="A69" s="154" t="s">
        <v>144</v>
      </c>
      <c r="B69" s="282">
        <f t="shared" si="2"/>
        <v>17606543.199999999</v>
      </c>
      <c r="C69" s="333">
        <v>1700000</v>
      </c>
      <c r="D69" s="333">
        <v>5096837</v>
      </c>
      <c r="E69" s="333">
        <v>1091818.2</v>
      </c>
      <c r="F69" s="333">
        <v>7102888</v>
      </c>
      <c r="G69" s="333">
        <v>2615000</v>
      </c>
      <c r="H69" s="333">
        <v>0</v>
      </c>
      <c r="I69" s="333">
        <v>0</v>
      </c>
      <c r="J69" s="333">
        <v>0</v>
      </c>
      <c r="K69" s="333">
        <v>0</v>
      </c>
      <c r="L69" s="333">
        <v>0</v>
      </c>
      <c r="M69" s="333">
        <v>0</v>
      </c>
      <c r="N69" s="333">
        <v>0</v>
      </c>
    </row>
    <row r="70" spans="1:14" x14ac:dyDescent="0.35">
      <c r="A70" s="154" t="s">
        <v>38</v>
      </c>
      <c r="B70" s="282">
        <f t="shared" si="2"/>
        <v>22572196</v>
      </c>
      <c r="C70" s="333">
        <v>11827247.479999999</v>
      </c>
      <c r="D70" s="333">
        <v>690462.95</v>
      </c>
      <c r="E70" s="333">
        <v>1913751.3</v>
      </c>
      <c r="F70" s="333">
        <v>2092680</v>
      </c>
      <c r="G70" s="333">
        <v>2541840.34</v>
      </c>
      <c r="H70" s="333">
        <v>0</v>
      </c>
      <c r="I70" s="333">
        <v>0</v>
      </c>
      <c r="J70" s="333">
        <v>0</v>
      </c>
      <c r="K70" s="333">
        <v>0</v>
      </c>
      <c r="L70" s="333">
        <v>0</v>
      </c>
      <c r="M70" s="333">
        <v>0</v>
      </c>
      <c r="N70" s="333">
        <v>3506213.93</v>
      </c>
    </row>
    <row r="71" spans="1:14" x14ac:dyDescent="0.35">
      <c r="A71" s="154" t="s">
        <v>39</v>
      </c>
      <c r="B71" s="282">
        <f t="shared" si="2"/>
        <v>5101830.88</v>
      </c>
      <c r="C71" s="333">
        <v>1643491.88</v>
      </c>
      <c r="D71" s="333">
        <v>0</v>
      </c>
      <c r="E71" s="333">
        <v>3458339</v>
      </c>
      <c r="F71" s="333">
        <v>0</v>
      </c>
      <c r="G71" s="333">
        <v>0</v>
      </c>
      <c r="H71" s="333">
        <v>0</v>
      </c>
      <c r="I71" s="333">
        <v>0</v>
      </c>
      <c r="J71" s="333">
        <v>0</v>
      </c>
      <c r="K71" s="333">
        <v>0</v>
      </c>
      <c r="L71" s="333">
        <v>0</v>
      </c>
      <c r="M71" s="333">
        <v>0</v>
      </c>
      <c r="N71" s="333">
        <v>0</v>
      </c>
    </row>
    <row r="72" spans="1:14" x14ac:dyDescent="0.35">
      <c r="A72" s="154" t="s">
        <v>40</v>
      </c>
      <c r="B72" s="282">
        <f t="shared" si="2"/>
        <v>1753710672.0699999</v>
      </c>
      <c r="C72" s="333">
        <v>448114290.63999993</v>
      </c>
      <c r="D72" s="333">
        <v>272849755.15000004</v>
      </c>
      <c r="E72" s="333">
        <v>324736187</v>
      </c>
      <c r="F72" s="333">
        <v>450736546.53000003</v>
      </c>
      <c r="G72" s="333">
        <v>235410304.75</v>
      </c>
      <c r="H72" s="333">
        <v>5375698</v>
      </c>
      <c r="I72" s="333">
        <v>0</v>
      </c>
      <c r="J72" s="333">
        <v>0</v>
      </c>
      <c r="K72" s="333">
        <v>0</v>
      </c>
      <c r="L72" s="333">
        <v>0</v>
      </c>
      <c r="M72" s="333">
        <v>0</v>
      </c>
      <c r="N72" s="333">
        <v>16487890</v>
      </c>
    </row>
    <row r="73" spans="1:14" x14ac:dyDescent="0.35">
      <c r="A73" s="154" t="s">
        <v>41</v>
      </c>
      <c r="B73" s="282">
        <f t="shared" si="2"/>
        <v>42395587.939999998</v>
      </c>
      <c r="C73" s="333">
        <v>9973232.9399999995</v>
      </c>
      <c r="D73" s="333">
        <v>3941974</v>
      </c>
      <c r="E73" s="333">
        <v>13477039</v>
      </c>
      <c r="F73" s="333">
        <v>4469351</v>
      </c>
      <c r="G73" s="333">
        <v>10533991</v>
      </c>
      <c r="H73" s="333">
        <v>0</v>
      </c>
      <c r="I73" s="333">
        <v>0</v>
      </c>
      <c r="J73" s="333">
        <v>0</v>
      </c>
      <c r="K73" s="333">
        <v>0</v>
      </c>
      <c r="L73" s="333">
        <v>0</v>
      </c>
      <c r="M73" s="333">
        <v>0</v>
      </c>
      <c r="N73" s="333">
        <v>0</v>
      </c>
    </row>
    <row r="74" spans="1:14" x14ac:dyDescent="0.35">
      <c r="A74" s="154" t="s">
        <v>145</v>
      </c>
      <c r="B74" s="282">
        <f t="shared" si="2"/>
        <v>16941605.109999999</v>
      </c>
      <c r="C74" s="333">
        <v>2475117.12</v>
      </c>
      <c r="D74" s="333">
        <v>1485000</v>
      </c>
      <c r="E74" s="333">
        <v>3482785</v>
      </c>
      <c r="F74" s="333">
        <v>7362105.9900000002</v>
      </c>
      <c r="G74" s="333">
        <v>2136597</v>
      </c>
      <c r="H74" s="333">
        <v>0</v>
      </c>
      <c r="I74" s="333">
        <v>0</v>
      </c>
      <c r="J74" s="333">
        <v>0</v>
      </c>
      <c r="K74" s="333">
        <v>0</v>
      </c>
      <c r="L74" s="333">
        <v>0</v>
      </c>
      <c r="M74" s="333">
        <v>0</v>
      </c>
      <c r="N74" s="333">
        <v>0</v>
      </c>
    </row>
    <row r="75" spans="1:14" ht="15" thickBot="1" x14ac:dyDescent="0.4">
      <c r="A75" s="154" t="s">
        <v>165</v>
      </c>
      <c r="B75" s="289">
        <f t="shared" si="2"/>
        <v>4656516.9399999995</v>
      </c>
      <c r="C75" s="334">
        <v>4656516.9399999995</v>
      </c>
      <c r="D75" s="334">
        <v>0</v>
      </c>
      <c r="E75" s="334">
        <v>0</v>
      </c>
      <c r="F75" s="334">
        <v>0</v>
      </c>
      <c r="G75" s="334">
        <v>0</v>
      </c>
      <c r="H75" s="334">
        <v>0</v>
      </c>
      <c r="I75" s="334">
        <v>0</v>
      </c>
      <c r="J75" s="334">
        <v>0</v>
      </c>
      <c r="K75" s="334">
        <v>0</v>
      </c>
      <c r="L75" s="334">
        <v>0</v>
      </c>
      <c r="M75" s="334">
        <v>0</v>
      </c>
      <c r="N75" s="334">
        <v>0</v>
      </c>
    </row>
    <row r="76" spans="1:14" ht="15" thickTop="1" x14ac:dyDescent="0.35">
      <c r="A76" s="45" t="s">
        <v>1</v>
      </c>
      <c r="B76" s="20">
        <f>SUM(C76:N76)</f>
        <v>6456400390.7800016</v>
      </c>
      <c r="C76" s="20">
        <f t="shared" ref="C76:N76" si="3">SUM(C56:C75)</f>
        <v>1583381188.2400002</v>
      </c>
      <c r="D76" s="20">
        <f t="shared" si="3"/>
        <v>939969755.44000006</v>
      </c>
      <c r="E76" s="20">
        <f t="shared" si="3"/>
        <v>1293649620.7900004</v>
      </c>
      <c r="F76" s="20">
        <f t="shared" si="3"/>
        <v>1577688188.75</v>
      </c>
      <c r="G76" s="20">
        <f t="shared" si="3"/>
        <v>957309519.12</v>
      </c>
      <c r="H76" s="20">
        <f t="shared" si="3"/>
        <v>35518667.259999998</v>
      </c>
      <c r="I76" s="24">
        <f t="shared" si="3"/>
        <v>11723220.960000001</v>
      </c>
      <c r="J76" s="24">
        <f t="shared" si="3"/>
        <v>1730795</v>
      </c>
      <c r="K76" s="24">
        <f t="shared" si="3"/>
        <v>2574999</v>
      </c>
      <c r="L76" s="24">
        <f t="shared" si="3"/>
        <v>4619388</v>
      </c>
      <c r="M76" s="24">
        <f t="shared" si="3"/>
        <v>6794526</v>
      </c>
      <c r="N76" s="24">
        <f t="shared" si="3"/>
        <v>41440522.219999999</v>
      </c>
    </row>
    <row r="77" spans="1:14" x14ac:dyDescent="0.35">
      <c r="A77" s="37"/>
      <c r="B77" s="38"/>
      <c r="C77" s="38"/>
      <c r="D77" s="38"/>
      <c r="E77" s="38"/>
      <c r="F77" s="38"/>
      <c r="G77" s="38"/>
      <c r="H77" s="38"/>
      <c r="I77" s="39"/>
      <c r="J77" s="39"/>
      <c r="K77" s="39"/>
      <c r="L77" s="39"/>
      <c r="M77" s="39"/>
      <c r="N77" s="39"/>
    </row>
    <row r="78" spans="1:14" x14ac:dyDescent="0.35">
      <c r="A78" s="37"/>
      <c r="B78" s="38"/>
      <c r="C78" s="38"/>
      <c r="D78" s="38"/>
      <c r="E78" s="38"/>
      <c r="F78" s="38"/>
      <c r="G78" s="38"/>
      <c r="H78" s="38"/>
      <c r="I78" s="39"/>
      <c r="J78" s="39"/>
      <c r="K78" s="39"/>
      <c r="L78" s="39"/>
      <c r="M78" s="39"/>
      <c r="N78" s="39"/>
    </row>
    <row r="79" spans="1:14" x14ac:dyDescent="0.35">
      <c r="A79" s="53"/>
      <c r="B79" s="53"/>
      <c r="C79" s="53"/>
      <c r="D79" s="53"/>
      <c r="E79" s="53"/>
      <c r="F79" s="53"/>
      <c r="G79" s="53"/>
      <c r="H79" s="53"/>
      <c r="I79" s="53"/>
      <c r="J79" s="53"/>
      <c r="K79" s="53"/>
      <c r="L79" s="53"/>
      <c r="M79" s="53"/>
      <c r="N79" s="53"/>
    </row>
    <row r="80" spans="1:14" x14ac:dyDescent="0.35">
      <c r="A80" s="187" t="s">
        <v>226</v>
      </c>
      <c r="B80" s="187"/>
      <c r="C80" s="187"/>
      <c r="D80" s="187"/>
      <c r="E80" s="187"/>
      <c r="F80" s="187"/>
      <c r="G80" s="187"/>
      <c r="H80" s="187"/>
      <c r="I80" s="187"/>
      <c r="J80" s="187"/>
      <c r="K80" s="187"/>
      <c r="L80" s="187"/>
      <c r="M80" s="187"/>
      <c r="N80" s="187"/>
    </row>
    <row r="81" spans="1:14" x14ac:dyDescent="0.35">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row>
    <row r="82" spans="1:14" x14ac:dyDescent="0.35">
      <c r="A82" s="12"/>
      <c r="B82" s="11"/>
      <c r="C82" s="13"/>
      <c r="D82" s="13"/>
      <c r="E82" s="17"/>
      <c r="F82" s="13"/>
      <c r="G82" s="13"/>
      <c r="H82" s="13"/>
      <c r="I82" s="13"/>
      <c r="J82" s="13"/>
      <c r="K82" s="13"/>
      <c r="L82" s="13"/>
      <c r="M82" s="13"/>
      <c r="N82" s="13"/>
    </row>
    <row r="83" spans="1:14" ht="27" x14ac:dyDescent="0.35">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row>
    <row r="84" spans="1:14" x14ac:dyDescent="0.35">
      <c r="A84" s="41" t="s">
        <v>182</v>
      </c>
      <c r="B84" s="71">
        <f>SUM(C84:N84)</f>
        <v>6455777572.7800007</v>
      </c>
      <c r="C84" s="137">
        <v>1583381188.2400002</v>
      </c>
      <c r="D84" s="33">
        <v>939969755.44000006</v>
      </c>
      <c r="E84" s="33">
        <f>1293649620.79-E86</f>
        <v>1293026802.79</v>
      </c>
      <c r="F84" s="137">
        <v>1577688188.75</v>
      </c>
      <c r="G84" s="137">
        <v>957309519.12</v>
      </c>
      <c r="H84" s="137">
        <v>35518667.259999998</v>
      </c>
      <c r="I84" s="50">
        <v>11723220.960000001</v>
      </c>
      <c r="J84" s="50">
        <v>1730795</v>
      </c>
      <c r="K84" s="50">
        <v>2574999</v>
      </c>
      <c r="L84" s="50">
        <v>4619388</v>
      </c>
      <c r="M84" s="50">
        <v>6794526</v>
      </c>
      <c r="N84" s="50">
        <v>41440522.219999999</v>
      </c>
    </row>
    <row r="85" spans="1:14" x14ac:dyDescent="0.35">
      <c r="A85" s="49" t="s">
        <v>183</v>
      </c>
      <c r="B85" s="75">
        <f t="shared" ref="B85:B87" si="4">SUM(C85:N85)</f>
        <v>0</v>
      </c>
      <c r="C85" s="33"/>
      <c r="D85" s="33">
        <v>0</v>
      </c>
      <c r="E85" s="33">
        <v>0</v>
      </c>
      <c r="F85" s="33"/>
      <c r="G85" s="33"/>
      <c r="H85" s="33"/>
      <c r="I85" s="27"/>
      <c r="J85" s="27"/>
      <c r="K85" s="27"/>
      <c r="L85" s="27"/>
      <c r="M85" s="27"/>
      <c r="N85" s="27"/>
    </row>
    <row r="86" spans="1:14" x14ac:dyDescent="0.35">
      <c r="A86" s="42" t="s">
        <v>184</v>
      </c>
      <c r="B86" s="75">
        <f>SUM(C86:N86)</f>
        <v>622818</v>
      </c>
      <c r="C86" s="31"/>
      <c r="D86" s="31"/>
      <c r="E86" s="32">
        <v>622818</v>
      </c>
      <c r="F86" s="33"/>
      <c r="G86" s="33"/>
      <c r="H86" s="33"/>
      <c r="I86" s="27"/>
      <c r="J86" s="27"/>
      <c r="K86" s="27"/>
      <c r="L86" s="27"/>
      <c r="M86" s="27"/>
      <c r="N86" s="28"/>
    </row>
    <row r="87" spans="1:14" ht="15" thickBot="1" x14ac:dyDescent="0.4">
      <c r="A87" s="42" t="s">
        <v>185</v>
      </c>
      <c r="B87" s="75">
        <f t="shared" si="4"/>
        <v>0</v>
      </c>
      <c r="C87" s="31"/>
      <c r="D87" s="31"/>
      <c r="E87" s="32"/>
      <c r="F87" s="33"/>
      <c r="G87" s="33"/>
      <c r="H87" s="33"/>
      <c r="I87" s="27"/>
      <c r="J87" s="27"/>
      <c r="K87" s="27"/>
      <c r="L87" s="27"/>
      <c r="M87" s="27"/>
      <c r="N87" s="28"/>
    </row>
    <row r="88" spans="1:14" ht="15" thickTop="1" x14ac:dyDescent="0.35">
      <c r="A88" s="44" t="s">
        <v>1</v>
      </c>
      <c r="B88" s="22">
        <f t="shared" ref="B88:N88" si="5">SUM(B84:B87)</f>
        <v>6456400390.7800007</v>
      </c>
      <c r="C88" s="22">
        <f t="shared" si="5"/>
        <v>1583381188.2400002</v>
      </c>
      <c r="D88" s="22">
        <f t="shared" si="5"/>
        <v>939969755.44000006</v>
      </c>
      <c r="E88" s="22">
        <f t="shared" si="5"/>
        <v>1293649620.79</v>
      </c>
      <c r="F88" s="22">
        <f t="shared" si="5"/>
        <v>1577688188.75</v>
      </c>
      <c r="G88" s="22">
        <f t="shared" si="5"/>
        <v>957309519.12</v>
      </c>
      <c r="H88" s="22">
        <f t="shared" si="5"/>
        <v>35518667.259999998</v>
      </c>
      <c r="I88" s="22">
        <f t="shared" si="5"/>
        <v>11723220.960000001</v>
      </c>
      <c r="J88" s="22">
        <f t="shared" si="5"/>
        <v>1730795</v>
      </c>
      <c r="K88" s="22">
        <f t="shared" si="5"/>
        <v>2574999</v>
      </c>
      <c r="L88" s="22">
        <f t="shared" si="5"/>
        <v>4619388</v>
      </c>
      <c r="M88" s="22">
        <f t="shared" si="5"/>
        <v>6794526</v>
      </c>
      <c r="N88" s="23">
        <f t="shared" si="5"/>
        <v>41440522.219999999</v>
      </c>
    </row>
    <row r="89" spans="1:14" x14ac:dyDescent="0.35">
      <c r="A89" s="26"/>
      <c r="B89" s="40"/>
      <c r="C89" s="40"/>
      <c r="D89" s="40"/>
      <c r="E89" s="40"/>
      <c r="F89" s="40"/>
      <c r="G89" s="40"/>
      <c r="H89" s="40"/>
      <c r="I89" s="40"/>
      <c r="J89" s="40"/>
      <c r="K89" s="40"/>
      <c r="L89" s="40"/>
      <c r="M89" s="40"/>
      <c r="N89" s="40"/>
    </row>
    <row r="90" spans="1:14" x14ac:dyDescent="0.35">
      <c r="A90" s="53"/>
      <c r="B90" s="53"/>
      <c r="C90" s="53"/>
      <c r="D90" s="53"/>
      <c r="E90" s="53"/>
      <c r="F90" s="53"/>
      <c r="G90" s="53"/>
      <c r="H90" s="53"/>
      <c r="I90" s="53"/>
      <c r="J90" s="53"/>
      <c r="K90" s="53"/>
      <c r="L90" s="53"/>
      <c r="M90" s="53"/>
      <c r="N90" s="53"/>
    </row>
    <row r="91" spans="1:14" x14ac:dyDescent="0.35">
      <c r="A91" s="187" t="s">
        <v>227</v>
      </c>
      <c r="B91" s="187"/>
      <c r="C91" s="187"/>
      <c r="D91" s="187"/>
      <c r="E91" s="187"/>
      <c r="F91" s="187"/>
      <c r="G91" s="187"/>
      <c r="H91" s="187"/>
      <c r="I91" s="187"/>
      <c r="J91" s="187"/>
      <c r="K91" s="187"/>
      <c r="L91" s="187"/>
      <c r="M91" s="187"/>
      <c r="N91" s="187"/>
    </row>
    <row r="92" spans="1:14" x14ac:dyDescent="0.35">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row>
    <row r="93" spans="1:14" x14ac:dyDescent="0.35">
      <c r="A93" s="46"/>
      <c r="B93" s="11"/>
      <c r="C93" s="13"/>
      <c r="D93" s="13"/>
      <c r="E93" s="17"/>
      <c r="F93" s="13"/>
      <c r="G93" s="13"/>
      <c r="H93" s="13"/>
      <c r="I93" s="13"/>
      <c r="J93" s="13"/>
      <c r="K93" s="13"/>
      <c r="L93" s="13"/>
      <c r="M93" s="13"/>
      <c r="N93" s="13"/>
    </row>
    <row r="94" spans="1:14" ht="27" x14ac:dyDescent="0.35">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row>
    <row r="95" spans="1:14" x14ac:dyDescent="0.35">
      <c r="A95" s="42" t="s">
        <v>62</v>
      </c>
      <c r="B95" s="71">
        <f>SUM(C95:N95)</f>
        <v>709395891.09000003</v>
      </c>
      <c r="C95" s="72">
        <v>96592051.170000002</v>
      </c>
      <c r="D95" s="73">
        <v>92669946.719999999</v>
      </c>
      <c r="E95" s="73">
        <v>113789118.86999999</v>
      </c>
      <c r="F95" s="73">
        <v>233489178.99000001</v>
      </c>
      <c r="G95" s="73">
        <v>163082811.34</v>
      </c>
      <c r="H95" s="78">
        <v>1952784</v>
      </c>
      <c r="I95" s="74">
        <v>0</v>
      </c>
      <c r="J95" s="75">
        <v>0</v>
      </c>
      <c r="K95" s="71">
        <v>0</v>
      </c>
      <c r="L95" s="76">
        <v>0</v>
      </c>
      <c r="M95" s="76">
        <v>3200000</v>
      </c>
      <c r="N95" s="71">
        <v>4620000</v>
      </c>
    </row>
    <row r="96" spans="1:14" x14ac:dyDescent="0.35">
      <c r="A96" s="42" t="s">
        <v>63</v>
      </c>
      <c r="B96" s="75">
        <f t="shared" ref="B96:B99" si="6">SUM(C96:N96)</f>
        <v>1507604874.1900003</v>
      </c>
      <c r="C96" s="77">
        <v>239002268.54999995</v>
      </c>
      <c r="D96" s="78">
        <v>160912812.60999998</v>
      </c>
      <c r="E96" s="78">
        <v>296106805.64999998</v>
      </c>
      <c r="F96" s="78">
        <v>378755088.36000001</v>
      </c>
      <c r="G96" s="78">
        <v>413682114.09000003</v>
      </c>
      <c r="H96" s="78">
        <v>3375843</v>
      </c>
      <c r="I96" s="74">
        <v>0</v>
      </c>
      <c r="J96" s="75">
        <v>0</v>
      </c>
      <c r="K96" s="75">
        <v>0</v>
      </c>
      <c r="L96" s="74">
        <v>718073</v>
      </c>
      <c r="M96" s="74">
        <v>0</v>
      </c>
      <c r="N96" s="75">
        <v>15051868.93</v>
      </c>
    </row>
    <row r="97" spans="1:14" x14ac:dyDescent="0.35">
      <c r="A97" s="42" t="s">
        <v>64</v>
      </c>
      <c r="B97" s="75">
        <f t="shared" si="6"/>
        <v>1152344014.7800002</v>
      </c>
      <c r="C97" s="77">
        <v>186577506.03999993</v>
      </c>
      <c r="D97" s="78">
        <v>162863515.96000004</v>
      </c>
      <c r="E97" s="78">
        <v>232662930.57000005</v>
      </c>
      <c r="F97" s="78">
        <v>352456674.48000002</v>
      </c>
      <c r="G97" s="78">
        <v>192770429.02000001</v>
      </c>
      <c r="H97" s="78">
        <v>7248333.1799999997</v>
      </c>
      <c r="I97" s="74">
        <v>4279222</v>
      </c>
      <c r="J97" s="75">
        <v>1730795</v>
      </c>
      <c r="K97" s="75">
        <v>0</v>
      </c>
      <c r="L97" s="74">
        <v>3901315</v>
      </c>
      <c r="M97" s="74">
        <v>0</v>
      </c>
      <c r="N97" s="75">
        <v>7853293.5299999993</v>
      </c>
    </row>
    <row r="98" spans="1:14" x14ac:dyDescent="0.35">
      <c r="A98" s="42" t="s">
        <v>65</v>
      </c>
      <c r="B98" s="75">
        <f t="shared" si="6"/>
        <v>1454195590.3099999</v>
      </c>
      <c r="C98" s="77">
        <v>402092233.62999994</v>
      </c>
      <c r="D98" s="78">
        <v>197754273.69</v>
      </c>
      <c r="E98" s="78">
        <v>326518549.22000003</v>
      </c>
      <c r="F98" s="78">
        <v>389095041.81999987</v>
      </c>
      <c r="G98" s="78">
        <v>126869011.56000002</v>
      </c>
      <c r="H98" s="78">
        <v>5992094.3900000006</v>
      </c>
      <c r="I98" s="74">
        <v>0</v>
      </c>
      <c r="J98" s="75">
        <v>0</v>
      </c>
      <c r="K98" s="75">
        <v>0</v>
      </c>
      <c r="L98" s="74">
        <v>0</v>
      </c>
      <c r="M98" s="74">
        <v>2039051</v>
      </c>
      <c r="N98" s="75">
        <v>3835335</v>
      </c>
    </row>
    <row r="99" spans="1:14" ht="15" thickBot="1" x14ac:dyDescent="0.4">
      <c r="A99" s="43" t="s">
        <v>66</v>
      </c>
      <c r="B99" s="79">
        <f t="shared" si="6"/>
        <v>1632860020.410001</v>
      </c>
      <c r="C99" s="80">
        <v>659117128.85000074</v>
      </c>
      <c r="D99" s="80">
        <v>325769206.45999992</v>
      </c>
      <c r="E99" s="80">
        <v>324572216.48000014</v>
      </c>
      <c r="F99" s="80">
        <v>223892205.10000005</v>
      </c>
      <c r="G99" s="80">
        <v>60905153.110000007</v>
      </c>
      <c r="H99" s="80">
        <v>16949612.689999998</v>
      </c>
      <c r="I99" s="81">
        <v>7443998.9600000009</v>
      </c>
      <c r="J99" s="79">
        <v>0</v>
      </c>
      <c r="K99" s="79">
        <v>2574999</v>
      </c>
      <c r="L99" s="81">
        <v>0</v>
      </c>
      <c r="M99" s="81">
        <v>1555475</v>
      </c>
      <c r="N99" s="79">
        <v>10080024.76</v>
      </c>
    </row>
    <row r="100" spans="1:14" ht="15" thickTop="1" x14ac:dyDescent="0.35">
      <c r="A100" s="42" t="s">
        <v>1</v>
      </c>
      <c r="B100" s="82">
        <f>SUM(B95:B99)</f>
        <v>6456400390.7800016</v>
      </c>
      <c r="C100" s="82">
        <f>SUM(C95:C99)</f>
        <v>1583381188.2400007</v>
      </c>
      <c r="D100" s="82">
        <f t="shared" ref="D100:N100" si="7">SUM(D95:D99)</f>
        <v>939969755.43999994</v>
      </c>
      <c r="E100" s="82">
        <f t="shared" si="7"/>
        <v>1293649620.7900002</v>
      </c>
      <c r="F100" s="82">
        <f t="shared" si="7"/>
        <v>1577688188.75</v>
      </c>
      <c r="G100" s="82">
        <f t="shared" si="7"/>
        <v>957309519.12000012</v>
      </c>
      <c r="H100" s="82">
        <f t="shared" si="7"/>
        <v>35518667.259999998</v>
      </c>
      <c r="I100" s="82">
        <f t="shared" si="7"/>
        <v>11723220.960000001</v>
      </c>
      <c r="J100" s="82">
        <f t="shared" si="7"/>
        <v>1730795</v>
      </c>
      <c r="K100" s="82">
        <f t="shared" si="7"/>
        <v>2574999</v>
      </c>
      <c r="L100" s="82">
        <f t="shared" si="7"/>
        <v>4619388</v>
      </c>
      <c r="M100" s="82">
        <f t="shared" si="7"/>
        <v>6794526</v>
      </c>
      <c r="N100" s="82">
        <f t="shared" si="7"/>
        <v>41440522.219999999</v>
      </c>
    </row>
    <row r="101" spans="1:14" x14ac:dyDescent="0.35">
      <c r="A101" s="26"/>
      <c r="B101" s="83"/>
      <c r="C101" s="83"/>
      <c r="D101" s="83"/>
      <c r="E101" s="83"/>
      <c r="F101" s="83"/>
      <c r="G101" s="83"/>
      <c r="H101" s="83"/>
      <c r="I101" s="83"/>
      <c r="J101" s="83"/>
      <c r="K101" s="83"/>
      <c r="L101" s="83"/>
      <c r="M101" s="83"/>
      <c r="N101" s="83"/>
    </row>
    <row r="102" spans="1:14" x14ac:dyDescent="0.35">
      <c r="A102" s="67"/>
      <c r="B102" s="53"/>
      <c r="C102" s="53"/>
      <c r="D102" s="53"/>
      <c r="E102" s="53"/>
      <c r="F102" s="53"/>
      <c r="G102" s="53"/>
      <c r="H102" s="53"/>
      <c r="I102" s="53"/>
      <c r="J102" s="53"/>
      <c r="K102" s="53"/>
      <c r="L102" s="53"/>
      <c r="M102" s="53"/>
      <c r="N102" s="53"/>
    </row>
    <row r="103" spans="1:14" x14ac:dyDescent="0.35">
      <c r="A103" s="187" t="s">
        <v>228</v>
      </c>
      <c r="B103" s="187"/>
      <c r="C103" s="187"/>
      <c r="D103" s="187"/>
      <c r="E103" s="187"/>
      <c r="F103" s="187"/>
      <c r="G103" s="187"/>
      <c r="H103" s="187"/>
      <c r="I103" s="187"/>
      <c r="J103" s="187"/>
      <c r="K103" s="187"/>
      <c r="L103" s="187"/>
      <c r="M103" s="187"/>
      <c r="N103" s="187"/>
    </row>
    <row r="104" spans="1:14" x14ac:dyDescent="0.35">
      <c r="A104" s="108"/>
      <c r="B104" s="109"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row>
    <row r="105" spans="1:14" x14ac:dyDescent="0.35">
      <c r="A105" s="46"/>
      <c r="B105" s="11"/>
      <c r="C105" s="13"/>
      <c r="D105" s="13"/>
      <c r="E105" s="17"/>
      <c r="F105" s="13"/>
      <c r="G105" s="13"/>
      <c r="H105" s="13"/>
      <c r="I105" s="13"/>
      <c r="J105" s="13"/>
      <c r="K105" s="13"/>
      <c r="L105" s="13"/>
      <c r="M105" s="13"/>
      <c r="N105" s="13"/>
    </row>
    <row r="106" spans="1:14" ht="27" x14ac:dyDescent="0.35">
      <c r="A106" s="47"/>
      <c r="B106" s="25" t="s">
        <v>4</v>
      </c>
      <c r="C106" s="15" t="s">
        <v>4</v>
      </c>
      <c r="D106" s="15" t="s">
        <v>4</v>
      </c>
      <c r="E106" s="14" t="s">
        <v>4</v>
      </c>
      <c r="F106" s="15" t="s">
        <v>4</v>
      </c>
      <c r="G106" s="15" t="s">
        <v>4</v>
      </c>
      <c r="H106" s="15" t="s">
        <v>4</v>
      </c>
      <c r="I106" s="15" t="s">
        <v>4</v>
      </c>
      <c r="J106" s="15" t="s">
        <v>4</v>
      </c>
      <c r="K106" s="15" t="s">
        <v>4</v>
      </c>
      <c r="L106" s="15" t="s">
        <v>4</v>
      </c>
      <c r="M106" s="15" t="s">
        <v>4</v>
      </c>
      <c r="N106" s="15" t="s">
        <v>4</v>
      </c>
    </row>
    <row r="107" spans="1:14" x14ac:dyDescent="0.35">
      <c r="A107" s="42" t="s">
        <v>201</v>
      </c>
      <c r="B107" s="140">
        <f t="shared" ref="B107:B110" si="8">SUM(C107:N107)</f>
        <v>6435438339.7800035</v>
      </c>
      <c r="C107" s="333">
        <v>1573339139.2400024</v>
      </c>
      <c r="D107" s="333">
        <v>936405276.44000041</v>
      </c>
      <c r="E107" s="333">
        <v>1292128221.7900009</v>
      </c>
      <c r="F107" s="333">
        <v>1576685882.7499993</v>
      </c>
      <c r="G107" s="333">
        <v>955677701.12</v>
      </c>
      <c r="H107" s="333">
        <v>35518667.259999998</v>
      </c>
      <c r="I107" s="333">
        <v>11723220.960000001</v>
      </c>
      <c r="J107" s="333">
        <v>1730795</v>
      </c>
      <c r="K107" s="333">
        <v>2574999</v>
      </c>
      <c r="L107" s="333">
        <v>4619388</v>
      </c>
      <c r="M107" s="333">
        <v>3594526</v>
      </c>
      <c r="N107" s="333">
        <v>41440522.219999991</v>
      </c>
    </row>
    <row r="108" spans="1:14" x14ac:dyDescent="0.35">
      <c r="A108" s="42" t="s">
        <v>202</v>
      </c>
      <c r="B108" s="88">
        <f t="shared" si="8"/>
        <v>18475913</v>
      </c>
      <c r="C108" s="333">
        <v>7555911</v>
      </c>
      <c r="D108" s="333">
        <v>3564479</v>
      </c>
      <c r="E108" s="333">
        <v>1521399</v>
      </c>
      <c r="F108" s="333">
        <v>1002306</v>
      </c>
      <c r="G108" s="333">
        <v>1631818</v>
      </c>
      <c r="H108" s="333">
        <v>0</v>
      </c>
      <c r="I108" s="333">
        <v>0</v>
      </c>
      <c r="J108" s="333">
        <v>0</v>
      </c>
      <c r="K108" s="333">
        <v>0</v>
      </c>
      <c r="L108" s="333">
        <v>0</v>
      </c>
      <c r="M108" s="333">
        <v>3200000</v>
      </c>
      <c r="N108" s="333">
        <v>0</v>
      </c>
    </row>
    <row r="109" spans="1:14" x14ac:dyDescent="0.35">
      <c r="A109" s="42" t="s">
        <v>58</v>
      </c>
      <c r="B109" s="88">
        <f t="shared" si="8"/>
        <v>2486138</v>
      </c>
      <c r="C109" s="89">
        <v>2486138</v>
      </c>
      <c r="D109" s="90">
        <v>0</v>
      </c>
      <c r="E109" s="90">
        <v>0</v>
      </c>
      <c r="F109" s="90">
        <v>0</v>
      </c>
      <c r="G109" s="90">
        <v>0</v>
      </c>
      <c r="H109" s="90">
        <v>0</v>
      </c>
      <c r="I109" s="91">
        <v>0</v>
      </c>
      <c r="J109" s="91">
        <v>0</v>
      </c>
      <c r="K109" s="91">
        <v>0</v>
      </c>
      <c r="L109" s="91">
        <v>0</v>
      </c>
      <c r="M109" s="91">
        <v>0</v>
      </c>
      <c r="N109" s="92">
        <v>0</v>
      </c>
    </row>
    <row r="110" spans="1:14" ht="15" thickBot="1" x14ac:dyDescent="0.4">
      <c r="A110" s="43" t="s">
        <v>203</v>
      </c>
      <c r="B110" s="148">
        <f t="shared" si="8"/>
        <v>0</v>
      </c>
      <c r="C110" s="89">
        <v>0</v>
      </c>
      <c r="D110" s="90">
        <v>0</v>
      </c>
      <c r="E110" s="90">
        <v>0</v>
      </c>
      <c r="F110" s="90">
        <v>0</v>
      </c>
      <c r="G110" s="90">
        <v>0</v>
      </c>
      <c r="H110" s="90">
        <v>0</v>
      </c>
      <c r="I110" s="91">
        <v>0</v>
      </c>
      <c r="J110" s="91">
        <v>0</v>
      </c>
      <c r="K110" s="91">
        <v>0</v>
      </c>
      <c r="L110" s="91">
        <v>0</v>
      </c>
      <c r="M110" s="91">
        <v>0</v>
      </c>
      <c r="N110" s="96">
        <v>0</v>
      </c>
    </row>
    <row r="111" spans="1:14" ht="15" thickTop="1" x14ac:dyDescent="0.35">
      <c r="A111" s="42" t="s">
        <v>1</v>
      </c>
      <c r="B111" s="139">
        <f>SUM(B107:B110)</f>
        <v>6456400390.7800035</v>
      </c>
      <c r="C111" s="97">
        <f t="shared" ref="C111:N111" si="9">SUM(C107:C110)</f>
        <v>1583381188.2400024</v>
      </c>
      <c r="D111" s="97">
        <f t="shared" si="9"/>
        <v>939969755.44000041</v>
      </c>
      <c r="E111" s="97">
        <f t="shared" si="9"/>
        <v>1293649620.7900009</v>
      </c>
      <c r="F111" s="97">
        <f t="shared" si="9"/>
        <v>1577688188.7499993</v>
      </c>
      <c r="G111" s="97">
        <f t="shared" si="9"/>
        <v>957309519.12</v>
      </c>
      <c r="H111" s="97">
        <f t="shared" si="9"/>
        <v>35518667.259999998</v>
      </c>
      <c r="I111" s="97">
        <f t="shared" si="9"/>
        <v>11723220.960000001</v>
      </c>
      <c r="J111" s="97">
        <f t="shared" si="9"/>
        <v>1730795</v>
      </c>
      <c r="K111" s="97">
        <f t="shared" si="9"/>
        <v>2574999</v>
      </c>
      <c r="L111" s="97">
        <f t="shared" si="9"/>
        <v>4619388</v>
      </c>
      <c r="M111" s="97">
        <f t="shared" si="9"/>
        <v>6794526</v>
      </c>
      <c r="N111" s="98">
        <f t="shared" si="9"/>
        <v>41440522.219999991</v>
      </c>
    </row>
    <row r="112" spans="1:14" x14ac:dyDescent="0.35">
      <c r="A112" s="26"/>
      <c r="B112" s="99"/>
      <c r="C112" s="99"/>
      <c r="D112" s="99"/>
      <c r="E112" s="99"/>
      <c r="F112" s="99"/>
      <c r="G112" s="99"/>
      <c r="H112" s="99"/>
      <c r="I112" s="99"/>
      <c r="J112" s="99"/>
      <c r="K112" s="99"/>
      <c r="L112" s="99"/>
      <c r="M112" s="99"/>
      <c r="N112" s="99"/>
    </row>
    <row r="113" spans="1:14" x14ac:dyDescent="0.35">
      <c r="A113" s="53"/>
      <c r="B113" s="53"/>
      <c r="C113" s="53"/>
      <c r="D113" s="53"/>
      <c r="E113" s="53"/>
      <c r="F113" s="53"/>
      <c r="G113" s="53"/>
      <c r="H113" s="53"/>
      <c r="I113" s="53"/>
      <c r="J113" s="53"/>
      <c r="K113" s="53"/>
      <c r="L113" s="53"/>
      <c r="M113" s="53"/>
      <c r="N113" s="53"/>
    </row>
    <row r="114" spans="1:14" x14ac:dyDescent="0.35">
      <c r="A114" s="187" t="s">
        <v>229</v>
      </c>
      <c r="B114" s="187"/>
      <c r="C114" s="187"/>
      <c r="D114" s="187"/>
      <c r="E114" s="187"/>
      <c r="F114" s="187"/>
      <c r="G114" s="187"/>
      <c r="H114" s="187"/>
      <c r="I114" s="187"/>
      <c r="J114" s="187"/>
      <c r="K114" s="187"/>
      <c r="L114" s="187"/>
      <c r="M114" s="187"/>
      <c r="N114" s="187"/>
    </row>
    <row r="115" spans="1:14" x14ac:dyDescent="0.35">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row>
    <row r="116" spans="1:14" x14ac:dyDescent="0.35">
      <c r="A116" s="48"/>
      <c r="B116" s="11"/>
      <c r="C116" s="13"/>
      <c r="D116" s="13"/>
      <c r="E116" s="17"/>
      <c r="F116" s="13"/>
      <c r="G116" s="13"/>
      <c r="H116" s="13"/>
      <c r="I116" s="13"/>
      <c r="J116" s="13"/>
      <c r="K116" s="13"/>
      <c r="L116" s="13"/>
      <c r="M116" s="13"/>
      <c r="N116" s="13"/>
    </row>
    <row r="117" spans="1:14" ht="27" x14ac:dyDescent="0.35">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row>
    <row r="118" spans="1:14" x14ac:dyDescent="0.35">
      <c r="A118" s="42" t="s">
        <v>57</v>
      </c>
      <c r="B118" s="137">
        <f>SUM(C118:N118)</f>
        <v>6456400390.7800035</v>
      </c>
      <c r="C118" s="137">
        <v>1583381188.2400024</v>
      </c>
      <c r="D118" s="137">
        <v>939969755.44000041</v>
      </c>
      <c r="E118" s="137">
        <v>1293649620.7900009</v>
      </c>
      <c r="F118" s="137">
        <v>1577688188.7499993</v>
      </c>
      <c r="G118" s="137">
        <v>957309519.12</v>
      </c>
      <c r="H118" s="137">
        <v>35518667.259999998</v>
      </c>
      <c r="I118" s="50">
        <v>11723220.960000001</v>
      </c>
      <c r="J118" s="50">
        <v>1730795</v>
      </c>
      <c r="K118" s="50">
        <v>2574999</v>
      </c>
      <c r="L118" s="50">
        <v>4619388</v>
      </c>
      <c r="M118" s="50">
        <v>6794526</v>
      </c>
      <c r="N118" s="50">
        <v>41440522.219999991</v>
      </c>
    </row>
    <row r="119" spans="1:14" x14ac:dyDescent="0.35">
      <c r="A119" s="42" t="s">
        <v>67</v>
      </c>
      <c r="B119" s="100"/>
      <c r="C119" s="90"/>
      <c r="D119" s="90"/>
      <c r="E119" s="90"/>
      <c r="F119" s="90"/>
      <c r="G119" s="90"/>
      <c r="H119" s="90"/>
      <c r="I119" s="91"/>
      <c r="J119" s="91"/>
      <c r="K119" s="91"/>
      <c r="L119" s="91"/>
      <c r="M119" s="91"/>
      <c r="N119" s="91"/>
    </row>
    <row r="120" spans="1:14" x14ac:dyDescent="0.35">
      <c r="A120" s="42" t="s">
        <v>68</v>
      </c>
      <c r="B120" s="100"/>
      <c r="C120" s="90"/>
      <c r="D120" s="90"/>
      <c r="E120" s="90"/>
      <c r="F120" s="90"/>
      <c r="G120" s="90"/>
      <c r="H120" s="90"/>
      <c r="I120" s="91"/>
      <c r="J120" s="91"/>
      <c r="K120" s="91"/>
      <c r="L120" s="91"/>
      <c r="M120" s="91"/>
      <c r="N120" s="91"/>
    </row>
    <row r="121" spans="1:14" ht="15" thickBot="1" x14ac:dyDescent="0.4">
      <c r="A121" s="43" t="s">
        <v>69</v>
      </c>
      <c r="B121" s="93"/>
      <c r="C121" s="94"/>
      <c r="D121" s="94"/>
      <c r="E121" s="94"/>
      <c r="F121" s="94"/>
      <c r="G121" s="94"/>
      <c r="H121" s="94"/>
      <c r="I121" s="95"/>
      <c r="J121" s="95"/>
      <c r="K121" s="95"/>
      <c r="L121" s="95"/>
      <c r="M121" s="95"/>
      <c r="N121" s="95"/>
    </row>
    <row r="122" spans="1:14" ht="15" thickTop="1" x14ac:dyDescent="0.35">
      <c r="A122" s="42" t="s">
        <v>1</v>
      </c>
      <c r="B122" s="97">
        <f>SUM(B118:B121)</f>
        <v>6456400390.7800035</v>
      </c>
      <c r="C122" s="97">
        <f>SUM(C118:C121)</f>
        <v>1583381188.2400024</v>
      </c>
      <c r="D122" s="97">
        <f t="shared" ref="D122:N122" si="10">SUM(D118:D121)</f>
        <v>939969755.44000041</v>
      </c>
      <c r="E122" s="97">
        <f t="shared" si="10"/>
        <v>1293649620.7900009</v>
      </c>
      <c r="F122" s="97">
        <f t="shared" si="10"/>
        <v>1577688188.7499993</v>
      </c>
      <c r="G122" s="97">
        <f t="shared" si="10"/>
        <v>957309519.12</v>
      </c>
      <c r="H122" s="97">
        <f t="shared" si="10"/>
        <v>35518667.259999998</v>
      </c>
      <c r="I122" s="97">
        <f t="shared" si="10"/>
        <v>11723220.960000001</v>
      </c>
      <c r="J122" s="97">
        <f t="shared" si="10"/>
        <v>1730795</v>
      </c>
      <c r="K122" s="97">
        <f t="shared" si="10"/>
        <v>2574999</v>
      </c>
      <c r="L122" s="97">
        <f t="shared" si="10"/>
        <v>4619388</v>
      </c>
      <c r="M122" s="97">
        <f t="shared" si="10"/>
        <v>6794526</v>
      </c>
      <c r="N122" s="97">
        <f t="shared" si="10"/>
        <v>41440522.219999991</v>
      </c>
    </row>
    <row r="123" spans="1:14" x14ac:dyDescent="0.35">
      <c r="A123" s="26"/>
      <c r="B123" s="99"/>
      <c r="C123" s="99"/>
      <c r="D123" s="99"/>
      <c r="E123" s="99"/>
      <c r="F123" s="99"/>
      <c r="G123" s="99"/>
      <c r="H123" s="99"/>
      <c r="I123" s="99"/>
      <c r="J123" s="99"/>
      <c r="K123" s="99"/>
      <c r="L123" s="99"/>
      <c r="M123" s="99"/>
      <c r="N123" s="99"/>
    </row>
    <row r="124" spans="1:14" x14ac:dyDescent="0.35">
      <c r="A124" s="53"/>
      <c r="B124" s="53"/>
      <c r="C124" s="53"/>
      <c r="D124" s="53"/>
      <c r="E124" s="53"/>
      <c r="F124" s="53"/>
      <c r="G124" s="53"/>
      <c r="H124" s="53"/>
      <c r="I124" s="53"/>
      <c r="J124" s="53"/>
      <c r="K124" s="53"/>
      <c r="L124" s="53"/>
      <c r="M124" s="53"/>
      <c r="N124" s="53"/>
    </row>
    <row r="125" spans="1:14" x14ac:dyDescent="0.35">
      <c r="A125" s="187" t="s">
        <v>230</v>
      </c>
      <c r="B125" s="187"/>
      <c r="C125" s="187"/>
      <c r="D125" s="187"/>
      <c r="E125" s="187"/>
      <c r="F125" s="187"/>
      <c r="G125" s="187"/>
      <c r="H125" s="187"/>
      <c r="I125" s="187"/>
      <c r="J125" s="54"/>
      <c r="K125" s="53"/>
      <c r="L125" s="53"/>
      <c r="M125" s="53"/>
      <c r="N125" s="53"/>
    </row>
    <row r="126" spans="1:14" ht="41" x14ac:dyDescent="0.35">
      <c r="A126" s="109" t="s">
        <v>50</v>
      </c>
      <c r="B126" s="109" t="s">
        <v>51</v>
      </c>
      <c r="C126" s="149" t="s">
        <v>204</v>
      </c>
      <c r="D126" s="149" t="s">
        <v>59</v>
      </c>
      <c r="E126" s="149" t="s">
        <v>61</v>
      </c>
      <c r="F126" s="149" t="s">
        <v>53</v>
      </c>
      <c r="G126" s="150" t="s">
        <v>60</v>
      </c>
      <c r="H126" s="151" t="s">
        <v>54</v>
      </c>
      <c r="I126" s="150" t="s">
        <v>55</v>
      </c>
      <c r="J126" s="54"/>
      <c r="K126" s="53"/>
      <c r="L126" s="53"/>
      <c r="M126" s="53"/>
      <c r="N126" s="53"/>
    </row>
    <row r="127" spans="1:14" x14ac:dyDescent="0.35">
      <c r="A127" s="41" t="s">
        <v>96</v>
      </c>
      <c r="B127" s="70" t="s">
        <v>3</v>
      </c>
      <c r="C127" s="87">
        <v>75000000</v>
      </c>
      <c r="D127" s="277" t="s">
        <v>104</v>
      </c>
      <c r="E127" s="277">
        <v>43173</v>
      </c>
      <c r="F127" s="101" t="s">
        <v>58</v>
      </c>
      <c r="G127" s="101" t="s">
        <v>109</v>
      </c>
      <c r="H127" s="277" t="s">
        <v>113</v>
      </c>
      <c r="I127" s="143">
        <v>5</v>
      </c>
      <c r="J127" s="54"/>
      <c r="K127" s="53"/>
      <c r="L127" s="53"/>
      <c r="M127" s="53"/>
      <c r="N127" s="53"/>
    </row>
    <row r="128" spans="1:14" x14ac:dyDescent="0.35">
      <c r="A128" s="42" t="s">
        <v>94</v>
      </c>
      <c r="B128" s="70" t="s">
        <v>3</v>
      </c>
      <c r="C128" s="92">
        <v>519000000</v>
      </c>
      <c r="D128" s="277" t="s">
        <v>102</v>
      </c>
      <c r="E128" s="277">
        <v>43357</v>
      </c>
      <c r="F128" s="101" t="s">
        <v>56</v>
      </c>
      <c r="G128" s="101" t="s">
        <v>108</v>
      </c>
      <c r="H128" s="277" t="s">
        <v>112</v>
      </c>
      <c r="I128" s="143">
        <v>7</v>
      </c>
      <c r="J128" s="54"/>
      <c r="K128" s="53"/>
      <c r="L128" s="53"/>
      <c r="M128" s="53"/>
      <c r="N128" s="53"/>
    </row>
    <row r="129" spans="1:14" x14ac:dyDescent="0.35">
      <c r="A129" s="42" t="s">
        <v>164</v>
      </c>
      <c r="B129" s="70" t="s">
        <v>3</v>
      </c>
      <c r="C129" s="92">
        <v>1000000000</v>
      </c>
      <c r="D129" s="277">
        <f>E129-365</f>
        <v>43242</v>
      </c>
      <c r="E129" s="277">
        <v>43607</v>
      </c>
      <c r="F129" s="101" t="s">
        <v>56</v>
      </c>
      <c r="G129" s="101" t="s">
        <v>108</v>
      </c>
      <c r="H129" s="277">
        <v>41355</v>
      </c>
      <c r="I129" s="143">
        <v>9</v>
      </c>
      <c r="J129" s="54"/>
      <c r="K129" s="53"/>
      <c r="L129" s="53"/>
      <c r="M129" s="53"/>
      <c r="N129" s="53"/>
    </row>
    <row r="130" spans="1:14" x14ac:dyDescent="0.35">
      <c r="A130" s="42" t="s">
        <v>200</v>
      </c>
      <c r="B130" s="70" t="s">
        <v>3</v>
      </c>
      <c r="C130" s="92">
        <v>650000000</v>
      </c>
      <c r="D130" s="309">
        <v>43438</v>
      </c>
      <c r="E130" s="309">
        <v>43803</v>
      </c>
      <c r="F130" s="143" t="s">
        <v>58</v>
      </c>
      <c r="G130" s="143" t="s">
        <v>109</v>
      </c>
      <c r="H130" s="309">
        <v>41521</v>
      </c>
      <c r="I130" s="143">
        <v>11</v>
      </c>
      <c r="J130" s="54"/>
      <c r="K130" s="53"/>
      <c r="L130" s="53"/>
      <c r="M130" s="53"/>
      <c r="N130" s="53"/>
    </row>
    <row r="131" spans="1:14" x14ac:dyDescent="0.35">
      <c r="A131" s="42" t="s">
        <v>206</v>
      </c>
      <c r="B131" s="308" t="s">
        <v>3</v>
      </c>
      <c r="C131" s="357">
        <v>1855000000</v>
      </c>
      <c r="D131" s="277">
        <v>43640</v>
      </c>
      <c r="E131" s="277">
        <v>44006</v>
      </c>
      <c r="F131" s="101" t="s">
        <v>56</v>
      </c>
      <c r="G131" s="101" t="s">
        <v>108</v>
      </c>
      <c r="H131" s="309">
        <v>41663</v>
      </c>
      <c r="I131" s="143">
        <v>12</v>
      </c>
      <c r="J131" s="54"/>
      <c r="K131" s="53"/>
      <c r="L131" s="53"/>
      <c r="M131" s="53"/>
      <c r="N131" s="53"/>
    </row>
    <row r="132" spans="1:14" ht="15" thickBot="1" x14ac:dyDescent="0.4">
      <c r="A132" s="43" t="s">
        <v>207</v>
      </c>
      <c r="B132" s="169" t="s">
        <v>3</v>
      </c>
      <c r="C132" s="95">
        <v>1900000000</v>
      </c>
      <c r="D132" s="275">
        <v>44315</v>
      </c>
      <c r="E132" s="275">
        <v>44680</v>
      </c>
      <c r="F132" s="172" t="s">
        <v>56</v>
      </c>
      <c r="G132" s="171" t="s">
        <v>108</v>
      </c>
      <c r="H132" s="278">
        <v>41521</v>
      </c>
      <c r="I132" s="172">
        <v>13</v>
      </c>
      <c r="J132" s="54"/>
      <c r="K132" s="53"/>
      <c r="L132" s="53"/>
      <c r="M132" s="53"/>
      <c r="N132" s="53"/>
    </row>
    <row r="133" spans="1:14" ht="15" thickTop="1" x14ac:dyDescent="0.35">
      <c r="A133" s="26"/>
      <c r="B133" s="67"/>
      <c r="C133" s="104"/>
      <c r="D133" s="102"/>
      <c r="E133" s="102"/>
      <c r="F133" s="105"/>
      <c r="G133" s="67"/>
      <c r="H133" s="67"/>
      <c r="I133" s="102"/>
      <c r="J133" s="67"/>
      <c r="K133" s="67"/>
      <c r="L133" s="67"/>
      <c r="M133" s="67"/>
      <c r="N133" s="67"/>
    </row>
    <row r="134" spans="1:14" x14ac:dyDescent="0.35">
      <c r="A134" s="26"/>
      <c r="B134" s="67"/>
      <c r="C134" s="104"/>
      <c r="D134" s="102"/>
      <c r="E134" s="102"/>
      <c r="F134" s="105"/>
      <c r="G134" s="67"/>
      <c r="H134" s="67"/>
      <c r="I134" s="102"/>
      <c r="J134" s="67"/>
      <c r="K134" s="67"/>
      <c r="L134" s="67"/>
      <c r="M134" s="67"/>
      <c r="N134" s="67"/>
    </row>
    <row r="135" spans="1:14" x14ac:dyDescent="0.35">
      <c r="A135" s="187" t="s">
        <v>231</v>
      </c>
      <c r="B135" s="187"/>
      <c r="C135" s="187"/>
      <c r="D135" s="187"/>
      <c r="E135" s="187"/>
      <c r="F135" s="187"/>
      <c r="G135" s="55"/>
      <c r="H135" s="67"/>
      <c r="I135" s="102"/>
      <c r="J135" s="67"/>
      <c r="K135" s="67"/>
      <c r="L135" s="67"/>
      <c r="M135" s="67"/>
      <c r="N135" s="67"/>
    </row>
    <row r="136" spans="1:14" x14ac:dyDescent="0.35">
      <c r="A136" s="136" t="s">
        <v>119</v>
      </c>
      <c r="B136" s="19" t="s">
        <v>50</v>
      </c>
      <c r="C136" s="19" t="s">
        <v>120</v>
      </c>
      <c r="D136" s="19" t="s">
        <v>51</v>
      </c>
      <c r="E136" s="63" t="s">
        <v>121</v>
      </c>
      <c r="F136" s="63" t="s">
        <v>166</v>
      </c>
      <c r="G136" s="55"/>
      <c r="H136" s="67"/>
      <c r="I136" s="102"/>
      <c r="J136" s="67"/>
      <c r="K136" s="67"/>
      <c r="L136" s="67"/>
      <c r="M136" s="67"/>
      <c r="N136" s="67"/>
    </row>
    <row r="137" spans="1:14" x14ac:dyDescent="0.35">
      <c r="A137" s="8" t="s">
        <v>123</v>
      </c>
      <c r="B137" s="125" t="s">
        <v>124</v>
      </c>
      <c r="C137" s="125" t="s">
        <v>125</v>
      </c>
      <c r="D137" s="125" t="s">
        <v>3</v>
      </c>
      <c r="E137" s="92">
        <v>247896000</v>
      </c>
      <c r="F137" s="196" t="s">
        <v>242</v>
      </c>
      <c r="G137" s="55"/>
      <c r="H137" s="67"/>
      <c r="I137" s="102"/>
      <c r="J137" s="67"/>
      <c r="K137" s="67"/>
      <c r="L137" s="67"/>
      <c r="M137" s="67"/>
      <c r="N137" s="67"/>
    </row>
    <row r="138" spans="1:14" x14ac:dyDescent="0.35">
      <c r="A138" s="7" t="s">
        <v>172</v>
      </c>
      <c r="B138" s="126" t="s">
        <v>178</v>
      </c>
      <c r="C138" s="126" t="s">
        <v>128</v>
      </c>
      <c r="D138" s="126" t="s">
        <v>3</v>
      </c>
      <c r="E138" s="92">
        <v>10000000</v>
      </c>
      <c r="F138" s="196" t="s">
        <v>129</v>
      </c>
      <c r="G138" s="55"/>
      <c r="H138" s="67"/>
      <c r="I138" s="102"/>
      <c r="J138" s="67"/>
      <c r="K138" s="67"/>
      <c r="L138" s="67"/>
      <c r="M138" s="67"/>
      <c r="N138" s="67"/>
    </row>
    <row r="139" spans="1:14" x14ac:dyDescent="0.35">
      <c r="A139" s="7" t="s">
        <v>211</v>
      </c>
      <c r="B139" s="126" t="s">
        <v>216</v>
      </c>
      <c r="C139" s="126" t="s">
        <v>128</v>
      </c>
      <c r="D139" s="126" t="s">
        <v>3</v>
      </c>
      <c r="E139" s="91">
        <v>124000000</v>
      </c>
      <c r="F139" s="196" t="s">
        <v>195</v>
      </c>
      <c r="G139" s="55"/>
      <c r="H139" s="67"/>
      <c r="I139" s="102"/>
      <c r="J139" s="67"/>
      <c r="K139" s="67"/>
      <c r="L139" s="67"/>
      <c r="M139" s="67"/>
      <c r="N139" s="67"/>
    </row>
    <row r="140" spans="1:14" x14ac:dyDescent="0.35">
      <c r="A140" s="7" t="s">
        <v>190</v>
      </c>
      <c r="B140" s="126" t="s">
        <v>194</v>
      </c>
      <c r="C140" s="126" t="s">
        <v>128</v>
      </c>
      <c r="D140" s="126" t="s">
        <v>3</v>
      </c>
      <c r="E140" s="92">
        <v>45000000</v>
      </c>
      <c r="F140" s="196" t="s">
        <v>129</v>
      </c>
      <c r="G140" s="55"/>
      <c r="H140" s="67"/>
      <c r="I140" s="102"/>
      <c r="J140" s="67"/>
      <c r="K140" s="67"/>
      <c r="L140" s="67"/>
      <c r="M140" s="67"/>
      <c r="N140" s="67"/>
    </row>
    <row r="141" spans="1:14" x14ac:dyDescent="0.35">
      <c r="A141" s="7" t="s">
        <v>175</v>
      </c>
      <c r="B141" s="126" t="s">
        <v>163</v>
      </c>
      <c r="C141" s="126" t="s">
        <v>128</v>
      </c>
      <c r="D141" s="126" t="s">
        <v>3</v>
      </c>
      <c r="E141" s="92">
        <v>25000000</v>
      </c>
      <c r="F141" s="196" t="s">
        <v>195</v>
      </c>
      <c r="G141" s="55"/>
      <c r="H141" s="67"/>
      <c r="I141" s="102"/>
      <c r="J141" s="67"/>
      <c r="K141" s="67"/>
      <c r="L141" s="67"/>
      <c r="M141" s="67"/>
      <c r="N141" s="67"/>
    </row>
    <row r="142" spans="1:14" x14ac:dyDescent="0.35">
      <c r="A142" s="7" t="s">
        <v>236</v>
      </c>
      <c r="B142" s="126" t="s">
        <v>239</v>
      </c>
      <c r="C142" s="126" t="s">
        <v>128</v>
      </c>
      <c r="D142" s="126" t="s">
        <v>3</v>
      </c>
      <c r="E142" s="92">
        <v>41000000</v>
      </c>
      <c r="F142" s="358" t="s">
        <v>195</v>
      </c>
      <c r="G142" s="55"/>
      <c r="H142" s="67"/>
      <c r="I142" s="102"/>
      <c r="J142" s="67"/>
      <c r="K142" s="67"/>
      <c r="L142" s="67"/>
      <c r="M142" s="67"/>
      <c r="N142" s="67"/>
    </row>
    <row r="143" spans="1:14" x14ac:dyDescent="0.35">
      <c r="A143" s="7" t="s">
        <v>237</v>
      </c>
      <c r="B143" s="126" t="s">
        <v>240</v>
      </c>
      <c r="C143" s="126" t="s">
        <v>128</v>
      </c>
      <c r="D143" s="126" t="s">
        <v>3</v>
      </c>
      <c r="E143" s="92">
        <v>10000000</v>
      </c>
      <c r="F143" s="358" t="s">
        <v>129</v>
      </c>
      <c r="G143" s="55"/>
      <c r="H143" s="67"/>
      <c r="I143" s="102"/>
      <c r="J143" s="67"/>
      <c r="K143" s="67"/>
      <c r="L143" s="67"/>
      <c r="M143" s="67"/>
      <c r="N143" s="67"/>
    </row>
    <row r="144" spans="1:14" x14ac:dyDescent="0.35">
      <c r="A144" s="7" t="s">
        <v>238</v>
      </c>
      <c r="B144" s="126" t="s">
        <v>241</v>
      </c>
      <c r="C144" s="126" t="s">
        <v>128</v>
      </c>
      <c r="D144" s="126" t="s">
        <v>3</v>
      </c>
      <c r="E144" s="92">
        <v>45000000</v>
      </c>
      <c r="F144" s="358" t="s">
        <v>129</v>
      </c>
      <c r="G144" s="55"/>
      <c r="H144" s="67"/>
      <c r="I144" s="102"/>
      <c r="J144" s="67"/>
      <c r="K144" s="67"/>
      <c r="L144" s="67"/>
      <c r="M144" s="67"/>
      <c r="N144" s="67"/>
    </row>
    <row r="145" spans="1:14" ht="15" thickBot="1" x14ac:dyDescent="0.4">
      <c r="A145" s="3" t="s">
        <v>246</v>
      </c>
      <c r="B145" s="165" t="s">
        <v>247</v>
      </c>
      <c r="C145" s="165" t="s">
        <v>248</v>
      </c>
      <c r="D145" s="128" t="s">
        <v>3</v>
      </c>
      <c r="E145" s="96">
        <v>10000000</v>
      </c>
      <c r="F145" s="359" t="s">
        <v>249</v>
      </c>
      <c r="G145" s="55"/>
      <c r="H145" s="67"/>
      <c r="I145" s="102"/>
      <c r="J145" s="67"/>
      <c r="K145" s="67"/>
      <c r="L145" s="67"/>
      <c r="M145" s="67"/>
      <c r="N145" s="67"/>
    </row>
    <row r="146" spans="1:14" ht="15" thickTop="1" x14ac:dyDescent="0.35">
      <c r="A146" s="5" t="s">
        <v>1</v>
      </c>
      <c r="B146" s="166"/>
      <c r="C146" s="166"/>
      <c r="D146" s="166"/>
      <c r="E146" s="103">
        <f>SUM(E137:E145)</f>
        <v>557896000</v>
      </c>
      <c r="F146" s="189"/>
      <c r="G146" s="55"/>
      <c r="H146" s="67"/>
      <c r="I146" s="102"/>
      <c r="J146" s="67"/>
      <c r="K146" s="67"/>
      <c r="L146" s="67"/>
      <c r="M146" s="67"/>
      <c r="N146" s="67"/>
    </row>
    <row r="147" spans="1:14" x14ac:dyDescent="0.35">
      <c r="A147" s="26"/>
      <c r="B147" s="67"/>
      <c r="C147" s="104"/>
      <c r="D147" s="102"/>
      <c r="E147" s="102"/>
      <c r="F147" s="105"/>
      <c r="G147" s="67"/>
      <c r="H147" s="67"/>
      <c r="I147" s="102"/>
      <c r="J147" s="67"/>
      <c r="K147" s="67"/>
      <c r="L147" s="67"/>
      <c r="M147" s="67"/>
      <c r="N147" s="67"/>
    </row>
    <row r="148" spans="1:14" x14ac:dyDescent="0.35">
      <c r="A148" s="67"/>
      <c r="B148" s="67"/>
      <c r="C148" s="67"/>
      <c r="D148" s="67"/>
      <c r="E148" s="67"/>
      <c r="F148" s="67"/>
      <c r="G148" s="67"/>
      <c r="H148" s="67"/>
      <c r="I148" s="67"/>
      <c r="J148" s="67"/>
      <c r="K148" s="67"/>
      <c r="L148" s="53"/>
      <c r="M148" s="53"/>
      <c r="N148" s="53"/>
    </row>
    <row r="149" spans="1:14" x14ac:dyDescent="0.35">
      <c r="A149" s="187" t="s">
        <v>232</v>
      </c>
      <c r="B149" s="187"/>
      <c r="C149" s="187"/>
      <c r="D149" s="187"/>
      <c r="E149" s="187"/>
      <c r="F149" s="53"/>
      <c r="G149" s="53"/>
      <c r="H149" s="53"/>
      <c r="I149" s="53"/>
      <c r="J149" s="53"/>
      <c r="K149" s="53"/>
      <c r="L149" s="53"/>
      <c r="M149" s="53"/>
      <c r="N149" s="53"/>
    </row>
    <row r="150" spans="1:14" x14ac:dyDescent="0.35">
      <c r="A150" s="53"/>
      <c r="B150" s="53"/>
      <c r="C150" s="53"/>
      <c r="D150" s="53"/>
      <c r="E150" s="53"/>
      <c r="F150" s="53"/>
      <c r="G150" s="53"/>
      <c r="H150" s="53"/>
      <c r="I150" s="53"/>
      <c r="J150" s="53"/>
      <c r="K150" s="53"/>
      <c r="L150" s="53"/>
      <c r="M150" s="53"/>
      <c r="N150" s="53"/>
    </row>
    <row r="151" spans="1:14" x14ac:dyDescent="0.35">
      <c r="A151" s="53"/>
      <c r="B151" s="53"/>
      <c r="C151" s="53"/>
      <c r="D151" s="53"/>
      <c r="E151" s="53"/>
      <c r="F151" s="53"/>
      <c r="G151" s="53"/>
      <c r="H151" s="53"/>
      <c r="I151" s="53"/>
      <c r="J151" s="53"/>
      <c r="K151" s="53"/>
      <c r="L151" s="53"/>
      <c r="M151" s="53"/>
      <c r="N151" s="53"/>
    </row>
    <row r="152" spans="1:14" x14ac:dyDescent="0.35">
      <c r="A152" s="53"/>
      <c r="B152" s="53"/>
      <c r="C152" s="53"/>
      <c r="D152" s="53"/>
      <c r="E152" s="53"/>
      <c r="F152" s="53"/>
      <c r="G152" s="53"/>
      <c r="H152" s="53"/>
      <c r="I152" s="53"/>
      <c r="J152" s="53"/>
      <c r="K152" s="53"/>
      <c r="L152" s="53"/>
      <c r="M152" s="53"/>
      <c r="N152" s="53"/>
    </row>
    <row r="153" spans="1:14" x14ac:dyDescent="0.35">
      <c r="A153" s="53"/>
      <c r="B153" s="53"/>
      <c r="C153" s="53"/>
      <c r="D153" s="53"/>
      <c r="E153" s="53"/>
      <c r="F153" s="53"/>
      <c r="G153" s="53"/>
      <c r="H153" s="53"/>
      <c r="I153" s="53"/>
      <c r="J153" s="53"/>
      <c r="K153" s="53"/>
      <c r="L153" s="53"/>
      <c r="M153" s="53"/>
      <c r="N153" s="53"/>
    </row>
    <row r="154" spans="1:14" x14ac:dyDescent="0.35">
      <c r="A154" s="53"/>
      <c r="B154" s="53"/>
      <c r="C154" s="53"/>
      <c r="D154" s="53"/>
      <c r="E154" s="53"/>
      <c r="F154" s="53"/>
      <c r="G154" s="53"/>
      <c r="H154" s="53"/>
      <c r="I154" s="53"/>
      <c r="J154" s="53"/>
      <c r="K154" s="53"/>
      <c r="L154" s="53"/>
      <c r="M154" s="53"/>
      <c r="N154" s="53"/>
    </row>
    <row r="155" spans="1:14" x14ac:dyDescent="0.35">
      <c r="A155" s="53"/>
      <c r="B155" s="53"/>
      <c r="C155" s="53"/>
      <c r="D155" s="53"/>
      <c r="E155" s="53"/>
      <c r="F155" s="53"/>
      <c r="G155" s="53"/>
      <c r="H155" s="53"/>
      <c r="I155" s="53"/>
      <c r="J155" s="53"/>
      <c r="K155" s="53"/>
      <c r="L155" s="53"/>
      <c r="M155" s="53"/>
      <c r="N155" s="53"/>
    </row>
    <row r="156" spans="1:14" x14ac:dyDescent="0.35">
      <c r="A156" s="53"/>
      <c r="B156" s="53"/>
      <c r="C156" s="53"/>
      <c r="D156" s="53"/>
      <c r="E156" s="53"/>
      <c r="F156" s="53"/>
      <c r="G156" s="53"/>
      <c r="H156" s="53"/>
      <c r="I156" s="53"/>
      <c r="J156" s="53"/>
      <c r="K156" s="53"/>
      <c r="L156" s="53"/>
      <c r="M156" s="53"/>
      <c r="N156" s="53"/>
    </row>
    <row r="157" spans="1:14" x14ac:dyDescent="0.35">
      <c r="A157" s="53"/>
      <c r="B157" s="53"/>
      <c r="C157" s="53"/>
      <c r="D157" s="53"/>
      <c r="E157" s="53"/>
      <c r="F157" s="53"/>
      <c r="G157" s="53"/>
      <c r="H157" s="53"/>
      <c r="I157" s="53"/>
      <c r="J157" s="53"/>
      <c r="K157" s="53"/>
      <c r="L157" s="53"/>
      <c r="M157" s="53"/>
      <c r="N157" s="53"/>
    </row>
    <row r="158" spans="1:14" x14ac:dyDescent="0.35">
      <c r="A158" s="53"/>
      <c r="B158" s="53"/>
      <c r="C158" s="53"/>
      <c r="D158" s="53"/>
      <c r="E158" s="53"/>
      <c r="F158" s="53"/>
      <c r="G158" s="53"/>
      <c r="H158" s="53"/>
      <c r="I158" s="53"/>
      <c r="J158" s="53"/>
      <c r="K158" s="53"/>
      <c r="L158" s="53"/>
      <c r="M158" s="53"/>
      <c r="N158" s="53"/>
    </row>
    <row r="159" spans="1:14" x14ac:dyDescent="0.35">
      <c r="A159" s="53"/>
      <c r="B159" s="53"/>
      <c r="C159" s="53"/>
      <c r="D159" s="53"/>
      <c r="E159" s="53"/>
      <c r="F159" s="53"/>
      <c r="G159" s="53"/>
      <c r="H159" s="53"/>
      <c r="I159" s="53"/>
      <c r="J159" s="53"/>
      <c r="K159" s="53"/>
      <c r="L159" s="53"/>
      <c r="M159" s="53"/>
      <c r="N159" s="53"/>
    </row>
    <row r="160" spans="1:14" x14ac:dyDescent="0.35">
      <c r="A160" s="53"/>
      <c r="B160" s="53"/>
      <c r="C160" s="53"/>
      <c r="D160" s="53"/>
      <c r="E160" s="53"/>
      <c r="F160" s="53"/>
      <c r="G160" s="53"/>
      <c r="H160" s="53"/>
      <c r="I160" s="53"/>
      <c r="J160" s="53"/>
      <c r="K160" s="53"/>
      <c r="L160" s="53"/>
      <c r="M160" s="53"/>
      <c r="N160" s="53"/>
    </row>
    <row r="161" spans="1:14" x14ac:dyDescent="0.35">
      <c r="A161" s="53"/>
      <c r="B161" s="53"/>
      <c r="C161" s="53"/>
      <c r="D161" s="53"/>
      <c r="E161" s="53"/>
      <c r="F161" s="53"/>
      <c r="G161" s="53"/>
      <c r="H161" s="53"/>
      <c r="I161" s="53"/>
      <c r="J161" s="53"/>
      <c r="K161" s="53"/>
      <c r="L161" s="53"/>
      <c r="M161" s="53"/>
      <c r="N161" s="53"/>
    </row>
    <row r="162" spans="1:14" x14ac:dyDescent="0.35">
      <c r="A162" s="53"/>
      <c r="B162" s="53"/>
      <c r="C162" s="53"/>
      <c r="D162" s="53"/>
      <c r="E162" s="53"/>
      <c r="F162" s="53"/>
      <c r="G162" s="53"/>
      <c r="H162" s="53"/>
      <c r="I162" s="53"/>
      <c r="J162" s="53"/>
      <c r="K162" s="53"/>
      <c r="L162" s="53"/>
      <c r="M162" s="53"/>
      <c r="N162" s="53"/>
    </row>
    <row r="163" spans="1:14" x14ac:dyDescent="0.35">
      <c r="A163" s="53"/>
      <c r="B163" s="53"/>
      <c r="C163" s="53"/>
      <c r="D163" s="53"/>
      <c r="E163" s="53"/>
      <c r="F163" s="53"/>
      <c r="G163" s="53"/>
      <c r="H163" s="53"/>
      <c r="I163" s="53"/>
      <c r="J163" s="53"/>
      <c r="K163" s="53"/>
      <c r="L163" s="53"/>
      <c r="M163" s="53"/>
      <c r="N163" s="53"/>
    </row>
    <row r="164" spans="1:14" x14ac:dyDescent="0.35">
      <c r="A164" s="53"/>
      <c r="B164" s="53"/>
      <c r="C164" s="53"/>
      <c r="D164" s="53"/>
      <c r="E164" s="53"/>
      <c r="F164" s="53"/>
      <c r="G164" s="53"/>
      <c r="H164" s="53"/>
      <c r="I164" s="53"/>
      <c r="J164" s="53"/>
      <c r="K164" s="53"/>
      <c r="L164" s="53"/>
      <c r="M164" s="53"/>
      <c r="N164" s="53"/>
    </row>
    <row r="165" spans="1:14" x14ac:dyDescent="0.35">
      <c r="A165" s="53"/>
      <c r="B165" s="53"/>
      <c r="C165" s="53"/>
      <c r="D165" s="53"/>
      <c r="E165" s="53"/>
      <c r="F165" s="53"/>
      <c r="G165" s="53"/>
      <c r="H165" s="53"/>
      <c r="I165" s="53"/>
      <c r="J165" s="53"/>
      <c r="K165" s="53"/>
      <c r="L165" s="53"/>
      <c r="M165" s="53"/>
      <c r="N165" s="53"/>
    </row>
    <row r="166" spans="1:14" x14ac:dyDescent="0.35">
      <c r="A166" s="53"/>
      <c r="B166" s="53"/>
      <c r="C166" s="53"/>
      <c r="D166" s="53"/>
      <c r="E166" s="53"/>
      <c r="F166" s="53"/>
      <c r="G166" s="53"/>
      <c r="H166" s="53"/>
      <c r="I166" s="53"/>
      <c r="J166" s="53"/>
      <c r="K166" s="53"/>
      <c r="L166" s="53"/>
      <c r="M166" s="53"/>
      <c r="N166" s="53"/>
    </row>
    <row r="167" spans="1:14" x14ac:dyDescent="0.35">
      <c r="A167" s="53"/>
      <c r="B167" s="53"/>
      <c r="C167" s="53"/>
      <c r="D167" s="53"/>
      <c r="E167" s="53"/>
      <c r="F167" s="53"/>
      <c r="G167" s="53"/>
      <c r="H167" s="53"/>
      <c r="I167" s="53"/>
      <c r="J167" s="53"/>
      <c r="K167" s="53"/>
      <c r="L167" s="53"/>
      <c r="M167" s="53"/>
      <c r="N167" s="53"/>
    </row>
    <row r="168" spans="1:14" x14ac:dyDescent="0.35">
      <c r="A168" s="53"/>
      <c r="B168" s="53"/>
      <c r="C168" s="53"/>
      <c r="D168" s="53"/>
      <c r="E168" s="53"/>
      <c r="F168" s="53"/>
      <c r="G168" s="53"/>
      <c r="H168" s="53"/>
      <c r="I168" s="53"/>
      <c r="J168" s="53"/>
      <c r="K168" s="53"/>
      <c r="L168" s="53"/>
      <c r="M168" s="53"/>
      <c r="N168" s="53"/>
    </row>
    <row r="169" spans="1:14" x14ac:dyDescent="0.35">
      <c r="A169" s="152" t="s">
        <v>117</v>
      </c>
      <c r="B169" s="53"/>
      <c r="C169" s="53"/>
      <c r="D169" s="53"/>
      <c r="E169" s="53"/>
      <c r="F169" s="53"/>
      <c r="G169" s="53"/>
      <c r="H169" s="53"/>
      <c r="I169" s="53"/>
      <c r="J169" s="53"/>
      <c r="K169" s="53"/>
      <c r="L169" s="53"/>
      <c r="M169" s="53"/>
      <c r="N169" s="5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71"/>
  <sheetViews>
    <sheetView topLeftCell="A137" workbookViewId="0">
      <selection activeCell="C118" sqref="C118:N118"/>
    </sheetView>
  </sheetViews>
  <sheetFormatPr baseColWidth="10" defaultColWidth="11.453125" defaultRowHeight="13.5" x14ac:dyDescent="0.3"/>
  <cols>
    <col min="1" max="1" width="54" style="53" customWidth="1"/>
    <col min="2" max="3" width="23" style="53" bestFit="1" customWidth="1"/>
    <col min="4" max="4" width="24.26953125" style="53" customWidth="1"/>
    <col min="5" max="5" width="25.1796875" style="53"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273" t="s">
        <v>85</v>
      </c>
      <c r="B1" s="270"/>
      <c r="C1" s="270"/>
      <c r="D1" s="270"/>
      <c r="E1" s="270"/>
      <c r="F1" s="67"/>
      <c r="G1" s="67"/>
      <c r="H1" s="67"/>
      <c r="I1" s="67"/>
      <c r="J1" s="67"/>
      <c r="K1" s="67"/>
      <c r="L1" s="67"/>
      <c r="M1" s="67"/>
    </row>
    <row r="2" spans="1:13" x14ac:dyDescent="0.3">
      <c r="A2" s="270" t="s">
        <v>0</v>
      </c>
      <c r="B2" s="114">
        <v>42551</v>
      </c>
      <c r="E2" s="270"/>
      <c r="F2" s="67"/>
      <c r="G2" s="67"/>
      <c r="H2" s="67"/>
      <c r="I2" s="67"/>
      <c r="J2" s="67"/>
      <c r="K2" s="67"/>
      <c r="L2" s="67"/>
      <c r="M2" s="67"/>
    </row>
    <row r="3" spans="1:13" x14ac:dyDescent="0.3">
      <c r="A3" s="270" t="s">
        <v>2</v>
      </c>
      <c r="B3" s="115" t="s">
        <v>3</v>
      </c>
      <c r="E3" s="270"/>
      <c r="F3" s="67"/>
      <c r="G3" s="55"/>
      <c r="H3" s="55"/>
      <c r="I3" s="67"/>
      <c r="J3" s="67"/>
      <c r="K3" s="67"/>
      <c r="L3" s="67"/>
      <c r="M3" s="67"/>
    </row>
    <row r="4" spans="1:13" x14ac:dyDescent="0.3">
      <c r="A4" s="270"/>
      <c r="B4" s="270"/>
      <c r="C4" s="270"/>
      <c r="D4" s="270"/>
      <c r="E4" s="270"/>
      <c r="F4" s="67"/>
      <c r="G4" s="55"/>
      <c r="H4" s="55"/>
      <c r="I4" s="67"/>
      <c r="J4" s="67"/>
      <c r="K4" s="67"/>
      <c r="L4" s="67"/>
      <c r="M4" s="67"/>
    </row>
    <row r="5" spans="1:13" x14ac:dyDescent="0.3">
      <c r="A5" s="258" t="s">
        <v>72</v>
      </c>
      <c r="B5" s="187"/>
      <c r="C5" s="257"/>
      <c r="D5" s="257"/>
      <c r="E5" s="257"/>
      <c r="F5" s="257"/>
      <c r="G5" s="55"/>
      <c r="H5" s="55"/>
      <c r="I5" s="295"/>
      <c r="J5" s="295"/>
      <c r="K5" s="67"/>
      <c r="L5" s="67"/>
      <c r="M5" s="67"/>
    </row>
    <row r="6" spans="1:13" ht="12.75" customHeight="1" x14ac:dyDescent="0.3">
      <c r="A6" s="256"/>
      <c r="B6" s="256" t="s">
        <v>1</v>
      </c>
      <c r="C6" s="259"/>
      <c r="D6" s="259"/>
      <c r="E6" s="255"/>
      <c r="F6" s="254"/>
      <c r="G6" s="254"/>
      <c r="H6" s="254"/>
      <c r="I6" s="295"/>
      <c r="J6" s="295"/>
      <c r="K6" s="67"/>
      <c r="L6" s="67"/>
      <c r="M6" s="67"/>
    </row>
    <row r="7" spans="1:13" x14ac:dyDescent="0.3">
      <c r="A7" s="265" t="s">
        <v>77</v>
      </c>
      <c r="B7" s="286">
        <v>6061555852</v>
      </c>
      <c r="C7" s="263"/>
      <c r="D7" s="174"/>
      <c r="E7" s="267"/>
      <c r="F7" s="266"/>
      <c r="G7" s="55"/>
      <c r="H7" s="55"/>
      <c r="I7" s="67"/>
      <c r="J7" s="67"/>
      <c r="K7" s="67"/>
      <c r="L7" s="67"/>
      <c r="M7" s="67"/>
    </row>
    <row r="8" spans="1:13" x14ac:dyDescent="0.3">
      <c r="A8" s="265" t="s">
        <v>78</v>
      </c>
      <c r="B8" s="335">
        <f>+B7/B9</f>
        <v>1105921.5201605547</v>
      </c>
      <c r="C8" s="263"/>
      <c r="D8" s="175"/>
      <c r="E8" s="267"/>
      <c r="F8" s="266"/>
      <c r="G8" s="55"/>
      <c r="H8" s="55"/>
      <c r="I8" s="67"/>
      <c r="J8" s="67"/>
      <c r="K8" s="67"/>
      <c r="L8" s="67"/>
      <c r="M8" s="67"/>
    </row>
    <row r="9" spans="1:13" x14ac:dyDescent="0.3">
      <c r="A9" s="265" t="s">
        <v>73</v>
      </c>
      <c r="B9" s="335">
        <v>5481</v>
      </c>
      <c r="C9" s="263"/>
      <c r="D9" s="174"/>
      <c r="E9" s="267"/>
      <c r="F9" s="266"/>
      <c r="G9" s="55"/>
      <c r="H9" s="55"/>
      <c r="I9" s="67"/>
      <c r="J9" s="67"/>
      <c r="K9" s="67"/>
      <c r="L9" s="67"/>
      <c r="M9" s="67"/>
    </row>
    <row r="10" spans="1:13" ht="13.5" customHeight="1" x14ac:dyDescent="0.3">
      <c r="A10" s="265" t="s">
        <v>79</v>
      </c>
      <c r="B10" s="338">
        <v>1.09E-2</v>
      </c>
      <c r="C10" s="263"/>
      <c r="D10" s="268"/>
      <c r="E10" s="267"/>
      <c r="F10" s="266"/>
      <c r="G10" s="55"/>
      <c r="H10" s="55"/>
      <c r="I10" s="67"/>
      <c r="J10" s="67"/>
      <c r="K10" s="67"/>
      <c r="L10" s="67"/>
      <c r="M10" s="67"/>
    </row>
    <row r="11" spans="1:13" x14ac:dyDescent="0.3">
      <c r="A11" s="265" t="s">
        <v>74</v>
      </c>
      <c r="B11" s="335">
        <v>42</v>
      </c>
      <c r="C11" s="263"/>
      <c r="D11" s="268"/>
      <c r="E11" s="267"/>
      <c r="F11" s="266"/>
      <c r="G11" s="55"/>
      <c r="H11" s="55"/>
      <c r="I11" s="67"/>
      <c r="J11" s="67"/>
      <c r="K11" s="67"/>
      <c r="L11" s="67"/>
      <c r="M11" s="67"/>
    </row>
    <row r="12" spans="1:13" x14ac:dyDescent="0.3">
      <c r="A12" s="265" t="s">
        <v>81</v>
      </c>
      <c r="B12" s="335">
        <v>165</v>
      </c>
      <c r="C12" s="263"/>
      <c r="D12" s="268"/>
      <c r="E12" s="267"/>
      <c r="F12" s="266"/>
      <c r="G12" s="55"/>
      <c r="H12" s="55"/>
      <c r="I12" s="67"/>
      <c r="J12" s="67"/>
      <c r="K12" s="67"/>
      <c r="L12" s="67"/>
      <c r="M12" s="67"/>
    </row>
    <row r="13" spans="1:13" x14ac:dyDescent="0.3">
      <c r="A13" s="265" t="s">
        <v>75</v>
      </c>
      <c r="B13" s="335">
        <v>5246</v>
      </c>
      <c r="C13" s="339"/>
      <c r="D13" s="268"/>
      <c r="E13" s="267"/>
      <c r="F13" s="266"/>
      <c r="G13" s="55"/>
      <c r="H13" s="55"/>
      <c r="I13" s="295"/>
      <c r="J13" s="295"/>
      <c r="K13" s="67"/>
      <c r="L13" s="67"/>
      <c r="M13" s="67"/>
    </row>
    <row r="14" spans="1:13" x14ac:dyDescent="0.3">
      <c r="A14" s="265" t="s">
        <v>196</v>
      </c>
      <c r="B14" s="338">
        <v>0.52449999999999997</v>
      </c>
      <c r="C14" s="339"/>
      <c r="D14" s="268"/>
      <c r="E14" s="267"/>
      <c r="F14" s="266"/>
      <c r="G14" s="55"/>
      <c r="H14" s="55"/>
      <c r="I14" s="295"/>
      <c r="J14" s="295"/>
      <c r="K14" s="67"/>
      <c r="L14" s="67"/>
      <c r="M14" s="67"/>
    </row>
    <row r="15" spans="1:13" x14ac:dyDescent="0.3">
      <c r="A15" s="265" t="s">
        <v>83</v>
      </c>
      <c r="B15" s="269">
        <v>1</v>
      </c>
      <c r="C15" s="339"/>
      <c r="D15" s="268"/>
      <c r="E15" s="267"/>
      <c r="F15" s="266"/>
      <c r="G15" s="55"/>
      <c r="H15" s="55"/>
      <c r="I15" s="295"/>
      <c r="J15" s="295"/>
      <c r="K15" s="67"/>
      <c r="L15" s="67"/>
      <c r="M15" s="67"/>
    </row>
    <row r="16" spans="1:13" x14ac:dyDescent="0.3">
      <c r="A16" s="265" t="s">
        <v>86</v>
      </c>
      <c r="B16" s="269">
        <v>1</v>
      </c>
      <c r="C16" s="339"/>
      <c r="D16" s="268"/>
      <c r="E16" s="267"/>
      <c r="F16" s="266"/>
      <c r="G16" s="55"/>
      <c r="H16" s="55"/>
      <c r="I16" s="295"/>
      <c r="J16" s="295"/>
      <c r="K16" s="67"/>
      <c r="L16" s="67"/>
      <c r="M16" s="67"/>
    </row>
    <row r="17" spans="1:13" x14ac:dyDescent="0.3">
      <c r="A17" s="265" t="s">
        <v>84</v>
      </c>
      <c r="B17" s="265">
        <v>5.9999999999999995E-4</v>
      </c>
      <c r="C17" s="339"/>
      <c r="D17" s="268"/>
      <c r="E17" s="267"/>
      <c r="F17" s="266"/>
      <c r="G17" s="55"/>
      <c r="H17" s="55"/>
      <c r="I17" s="295"/>
      <c r="J17" s="295"/>
      <c r="K17" s="67"/>
      <c r="L17" s="67"/>
      <c r="M17" s="67"/>
    </row>
    <row r="18" spans="1:13" x14ac:dyDescent="0.3">
      <c r="A18" s="265" t="s">
        <v>49</v>
      </c>
      <c r="B18" s="123">
        <f>E147</f>
        <v>522799000</v>
      </c>
      <c r="C18" s="339"/>
      <c r="D18" s="339"/>
      <c r="E18" s="332"/>
      <c r="F18" s="186"/>
      <c r="G18" s="306"/>
      <c r="H18" s="297"/>
      <c r="I18" s="297"/>
      <c r="J18" s="167"/>
      <c r="K18" s="67"/>
      <c r="L18" s="67"/>
      <c r="M18" s="67"/>
    </row>
    <row r="19" spans="1:13" x14ac:dyDescent="0.3">
      <c r="A19" s="262" t="s">
        <v>80</v>
      </c>
      <c r="B19" s="58">
        <v>6602235000</v>
      </c>
      <c r="C19" s="340"/>
      <c r="D19" s="340" t="s">
        <v>234</v>
      </c>
      <c r="E19" s="318" t="s">
        <v>235</v>
      </c>
      <c r="F19" s="186"/>
      <c r="G19" s="307"/>
      <c r="H19" s="297"/>
      <c r="I19" s="297"/>
      <c r="J19" s="167"/>
      <c r="K19" s="67"/>
      <c r="L19" s="67"/>
      <c r="M19" s="67"/>
    </row>
    <row r="20" spans="1:13" x14ac:dyDescent="0.3">
      <c r="A20" s="341" t="s">
        <v>197</v>
      </c>
      <c r="B20" s="342">
        <f>($B$19)/E20-1</f>
        <v>0.16595082094885805</v>
      </c>
      <c r="C20" s="340"/>
      <c r="D20" s="312">
        <v>34308490</v>
      </c>
      <c r="E20" s="318">
        <v>5662533000</v>
      </c>
      <c r="F20" s="186"/>
      <c r="G20" s="307"/>
      <c r="H20" s="297"/>
      <c r="I20" s="297"/>
      <c r="J20" s="167"/>
      <c r="K20" s="67"/>
      <c r="L20" s="67"/>
      <c r="M20" s="67"/>
    </row>
    <row r="21" spans="1:13" x14ac:dyDescent="0.3">
      <c r="A21" s="341" t="s">
        <v>198</v>
      </c>
      <c r="B21" s="342">
        <f>($B$19-D21)/E20-1</f>
        <v>0.12276767534952993</v>
      </c>
      <c r="C21" s="340"/>
      <c r="D21" s="318">
        <f>278834477-D20</f>
        <v>244525987</v>
      </c>
      <c r="E21" s="318"/>
      <c r="F21" s="186"/>
      <c r="G21" s="307"/>
      <c r="H21" s="297"/>
      <c r="I21" s="297"/>
      <c r="J21" s="167"/>
      <c r="K21" s="67"/>
      <c r="L21" s="67"/>
      <c r="M21" s="67"/>
    </row>
    <row r="22" spans="1:13" x14ac:dyDescent="0.3">
      <c r="A22" s="341" t="s">
        <v>233</v>
      </c>
      <c r="B22" s="342">
        <f>($B$19-D22)/E20-1</f>
        <v>6.0207554122863272E-2</v>
      </c>
      <c r="C22" s="340"/>
      <c r="D22" s="318">
        <f>633083227.93-D20</f>
        <v>598774737.92999995</v>
      </c>
      <c r="E22" s="318"/>
      <c r="F22" s="186"/>
      <c r="G22" s="307"/>
      <c r="H22" s="297"/>
      <c r="I22" s="297"/>
      <c r="J22" s="167"/>
      <c r="K22" s="67"/>
      <c r="L22" s="67"/>
      <c r="M22" s="67"/>
    </row>
    <row r="23" spans="1:13" s="54" customFormat="1" x14ac:dyDescent="0.3">
      <c r="A23" s="259"/>
      <c r="B23" s="60"/>
      <c r="C23" s="343"/>
      <c r="D23" s="343"/>
      <c r="E23" s="326"/>
      <c r="F23" s="186"/>
      <c r="G23" s="306"/>
      <c r="H23" s="297"/>
      <c r="I23" s="297"/>
      <c r="J23" s="167"/>
      <c r="K23" s="55"/>
      <c r="L23" s="55"/>
      <c r="M23" s="55"/>
    </row>
    <row r="24" spans="1:13" x14ac:dyDescent="0.3">
      <c r="C24" s="337"/>
      <c r="D24" s="337"/>
      <c r="E24" s="337"/>
      <c r="F24" s="186"/>
      <c r="G24" s="67"/>
      <c r="H24" s="297"/>
      <c r="I24" s="297"/>
      <c r="J24" s="167"/>
      <c r="K24" s="67"/>
      <c r="L24" s="67"/>
      <c r="M24" s="67"/>
    </row>
    <row r="25" spans="1:13" x14ac:dyDescent="0.3">
      <c r="A25" s="258" t="s">
        <v>71</v>
      </c>
      <c r="B25" s="187"/>
      <c r="C25" s="258"/>
      <c r="D25" s="187"/>
      <c r="E25" s="257"/>
      <c r="F25" s="186"/>
      <c r="G25" s="67"/>
      <c r="H25" s="297"/>
      <c r="I25" s="297"/>
      <c r="J25" s="167"/>
      <c r="K25" s="67"/>
      <c r="L25" s="67"/>
      <c r="M25" s="67"/>
    </row>
    <row r="26" spans="1:13" x14ac:dyDescent="0.3">
      <c r="A26" s="256"/>
      <c r="B26" s="256"/>
      <c r="C26" s="256"/>
      <c r="D26" s="256"/>
      <c r="E26" s="255"/>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1499812547.3400018</v>
      </c>
      <c r="C28" s="129">
        <v>2433</v>
      </c>
      <c r="D28" s="196">
        <f t="shared" ref="D28:D37" si="0">B28/$B$40</f>
        <v>0.2474302941049627</v>
      </c>
      <c r="E28" s="173"/>
      <c r="F28" s="186"/>
      <c r="G28" s="186"/>
      <c r="H28" s="297"/>
      <c r="I28" s="298"/>
      <c r="J28" s="167"/>
      <c r="K28" s="67"/>
      <c r="L28" s="67"/>
      <c r="M28" s="67"/>
    </row>
    <row r="29" spans="1:13" ht="14.5" x14ac:dyDescent="0.35">
      <c r="A29" s="6" t="s">
        <v>7</v>
      </c>
      <c r="B29" s="126">
        <v>920529640.14999986</v>
      </c>
      <c r="C29" s="129">
        <v>758</v>
      </c>
      <c r="D29" s="196">
        <f t="shared" si="0"/>
        <v>0.15186359121918724</v>
      </c>
      <c r="E29" s="173"/>
      <c r="F29" s="257"/>
      <c r="G29" s="257"/>
      <c r="H29" s="257"/>
      <c r="I29" s="257"/>
      <c r="J29" s="167"/>
      <c r="K29" s="67"/>
      <c r="L29" s="67"/>
      <c r="M29" s="67"/>
    </row>
    <row r="30" spans="1:13" ht="14.5" x14ac:dyDescent="0.35">
      <c r="A30" s="6" t="s">
        <v>8</v>
      </c>
      <c r="B30" s="126">
        <v>1224386020.27</v>
      </c>
      <c r="C30" s="129">
        <v>865</v>
      </c>
      <c r="D30" s="196">
        <f t="shared" si="0"/>
        <v>0.20199203802549148</v>
      </c>
      <c r="E30" s="173"/>
      <c r="F30" s="259"/>
      <c r="G30" s="259"/>
      <c r="H30" s="259"/>
      <c r="I30" s="259"/>
      <c r="J30" s="167"/>
      <c r="K30" s="67"/>
      <c r="L30" s="67"/>
      <c r="M30" s="67"/>
    </row>
    <row r="31" spans="1:13" ht="14.5" x14ac:dyDescent="0.35">
      <c r="A31" s="6" t="s">
        <v>9</v>
      </c>
      <c r="B31" s="126">
        <v>1443972972.1999993</v>
      </c>
      <c r="C31" s="129">
        <v>920</v>
      </c>
      <c r="D31" s="196">
        <f t="shared" si="0"/>
        <v>0.23821820788519402</v>
      </c>
      <c r="E31" s="173"/>
      <c r="F31" s="316"/>
      <c r="G31" s="317"/>
      <c r="H31" s="317"/>
      <c r="I31" s="176"/>
      <c r="J31" s="167"/>
      <c r="K31" s="67"/>
      <c r="L31" s="67"/>
      <c r="M31" s="67"/>
    </row>
    <row r="32" spans="1:13" ht="14.5" x14ac:dyDescent="0.35">
      <c r="A32" s="6" t="s">
        <v>140</v>
      </c>
      <c r="B32" s="126">
        <v>882985581.60000002</v>
      </c>
      <c r="C32" s="129">
        <v>465</v>
      </c>
      <c r="D32" s="196">
        <f t="shared" si="0"/>
        <v>0.14566979222384219</v>
      </c>
      <c r="E32" s="173"/>
      <c r="F32" s="304"/>
      <c r="G32" s="297"/>
      <c r="H32" s="297"/>
      <c r="I32" s="263"/>
      <c r="J32" s="167"/>
      <c r="K32" s="67"/>
      <c r="L32" s="67"/>
      <c r="M32" s="67"/>
    </row>
    <row r="33" spans="1:13" ht="14.5" x14ac:dyDescent="0.35">
      <c r="A33" s="6" t="s">
        <v>141</v>
      </c>
      <c r="B33" s="126">
        <v>21620020.529999997</v>
      </c>
      <c r="C33" s="129">
        <v>13</v>
      </c>
      <c r="D33" s="196">
        <f t="shared" si="0"/>
        <v>3.5667444226818641E-3</v>
      </c>
      <c r="E33" s="173"/>
      <c r="F33" s="304"/>
      <c r="G33" s="297"/>
      <c r="H33" s="297"/>
      <c r="I33" s="263"/>
      <c r="J33" s="303"/>
      <c r="K33" s="67"/>
      <c r="L33" s="67"/>
      <c r="M33" s="67"/>
    </row>
    <row r="34" spans="1:13" ht="14.5" x14ac:dyDescent="0.35">
      <c r="A34" s="6" t="s">
        <v>10</v>
      </c>
      <c r="B34" s="126">
        <v>8412540.8100000005</v>
      </c>
      <c r="C34" s="129">
        <v>3</v>
      </c>
      <c r="D34" s="196">
        <f t="shared" si="0"/>
        <v>1.3878517355252057E-3</v>
      </c>
      <c r="E34" s="173"/>
      <c r="F34" s="304"/>
      <c r="G34" s="297"/>
      <c r="H34" s="297"/>
      <c r="I34" s="263"/>
      <c r="J34" s="295"/>
      <c r="K34" s="67"/>
      <c r="L34" s="67"/>
      <c r="M34" s="67"/>
    </row>
    <row r="35" spans="1:13" ht="14.5" x14ac:dyDescent="0.35">
      <c r="A35" s="6" t="s">
        <v>11</v>
      </c>
      <c r="B35" s="134">
        <v>0</v>
      </c>
      <c r="C35" s="135">
        <v>1</v>
      </c>
      <c r="D35" s="196">
        <f t="shared" si="0"/>
        <v>0</v>
      </c>
      <c r="E35" s="173"/>
      <c r="F35" s="304"/>
      <c r="G35" s="297"/>
      <c r="H35" s="297"/>
      <c r="I35" s="263"/>
      <c r="J35" s="67"/>
      <c r="K35" s="67"/>
      <c r="L35" s="67"/>
      <c r="M35" s="67"/>
    </row>
    <row r="36" spans="1:13" ht="14.5" x14ac:dyDescent="0.35">
      <c r="A36" s="6" t="s">
        <v>12</v>
      </c>
      <c r="B36" s="130">
        <v>2600613</v>
      </c>
      <c r="C36" s="131">
        <v>2</v>
      </c>
      <c r="D36" s="196">
        <f t="shared" si="0"/>
        <v>4.2903390866039811E-4</v>
      </c>
      <c r="E36" s="173"/>
      <c r="F36" s="304"/>
      <c r="G36" s="297"/>
      <c r="H36" s="297"/>
      <c r="I36" s="263"/>
      <c r="J36" s="67"/>
      <c r="K36" s="67"/>
      <c r="L36" s="67"/>
      <c r="M36" s="67"/>
    </row>
    <row r="37" spans="1:13" ht="14.5" x14ac:dyDescent="0.35">
      <c r="A37" s="6" t="s">
        <v>13</v>
      </c>
      <c r="B37" s="130">
        <v>6803248.4000000004</v>
      </c>
      <c r="C37" s="131">
        <v>2</v>
      </c>
      <c r="D37" s="196">
        <f t="shared" si="0"/>
        <v>1.1223600945775476E-3</v>
      </c>
      <c r="E37" s="173"/>
      <c r="F37" s="304"/>
      <c r="G37" s="297"/>
      <c r="H37" s="297"/>
      <c r="I37" s="263"/>
      <c r="J37" s="67"/>
      <c r="K37" s="67"/>
      <c r="L37" s="67"/>
      <c r="M37" s="67"/>
    </row>
    <row r="38" spans="1:13" ht="14.5" x14ac:dyDescent="0.35">
      <c r="A38" s="6" t="s">
        <v>14</v>
      </c>
      <c r="B38" s="130">
        <v>5973284</v>
      </c>
      <c r="C38" s="131">
        <v>3</v>
      </c>
      <c r="D38" s="196">
        <f>B38/$B$40</f>
        <v>9.8543742650621883E-4</v>
      </c>
      <c r="E38" s="173"/>
      <c r="F38" s="304"/>
      <c r="G38" s="297"/>
      <c r="H38" s="297"/>
      <c r="I38" s="263"/>
      <c r="J38" s="67"/>
      <c r="K38" s="67"/>
      <c r="L38" s="67"/>
      <c r="M38" s="67"/>
    </row>
    <row r="39" spans="1:13" ht="15" thickBot="1" x14ac:dyDescent="0.4">
      <c r="A39" s="4" t="s">
        <v>15</v>
      </c>
      <c r="B39" s="132">
        <v>44459384.289999992</v>
      </c>
      <c r="C39" s="287">
        <v>16</v>
      </c>
      <c r="D39" s="192">
        <f>B39/$B$40</f>
        <v>7.3346489533711451E-3</v>
      </c>
      <c r="E39" s="173"/>
      <c r="F39" s="304"/>
      <c r="G39" s="298"/>
      <c r="H39" s="298"/>
      <c r="I39" s="263"/>
      <c r="J39" s="67"/>
      <c r="K39" s="67"/>
      <c r="L39" s="67"/>
      <c r="M39" s="67"/>
    </row>
    <row r="40" spans="1:13" ht="15" thickTop="1" x14ac:dyDescent="0.35">
      <c r="A40" s="1" t="s">
        <v>1</v>
      </c>
      <c r="B40" s="18">
        <f>SUM(B28:B39)</f>
        <v>6061555852.5900011</v>
      </c>
      <c r="C40" s="133">
        <f>SUM(C28:C39)</f>
        <v>5481</v>
      </c>
      <c r="D40" s="344">
        <f>SUM(D28:D39)</f>
        <v>1.0000000000000002</v>
      </c>
      <c r="E40" s="173"/>
      <c r="F40" s="304"/>
      <c r="G40" s="299"/>
      <c r="H40" s="299"/>
      <c r="I40" s="263"/>
    </row>
    <row r="41" spans="1:13" x14ac:dyDescent="0.3">
      <c r="F41" s="304"/>
      <c r="G41" s="299"/>
      <c r="H41" s="299"/>
      <c r="I41" s="263"/>
    </row>
    <row r="42" spans="1:13" x14ac:dyDescent="0.3">
      <c r="F42" s="304"/>
      <c r="G42" s="299"/>
      <c r="H42" s="299"/>
      <c r="I42" s="263"/>
    </row>
    <row r="43" spans="1:13" x14ac:dyDescent="0.3">
      <c r="A43" s="258" t="s">
        <v>218</v>
      </c>
      <c r="B43" s="187"/>
      <c r="C43" s="258"/>
      <c r="D43" s="187"/>
      <c r="F43" s="304"/>
      <c r="G43" s="299"/>
      <c r="H43" s="299"/>
      <c r="I43" s="263"/>
    </row>
    <row r="44" spans="1:13" x14ac:dyDescent="0.3">
      <c r="A44" s="256"/>
      <c r="B44" s="256"/>
      <c r="C44" s="256"/>
      <c r="D44" s="256"/>
      <c r="F44" s="304"/>
      <c r="G44" s="301"/>
      <c r="H44" s="302"/>
      <c r="I44" s="345"/>
    </row>
    <row r="45" spans="1:13" x14ac:dyDescent="0.3">
      <c r="A45" s="9" t="s">
        <v>219</v>
      </c>
      <c r="B45" s="10" t="s">
        <v>4</v>
      </c>
      <c r="C45" s="10" t="s">
        <v>5</v>
      </c>
      <c r="D45" s="63" t="s">
        <v>17</v>
      </c>
    </row>
    <row r="46" spans="1:13" x14ac:dyDescent="0.3">
      <c r="A46" s="6" t="s">
        <v>220</v>
      </c>
      <c r="B46" s="126">
        <v>201071104.33000007</v>
      </c>
      <c r="C46" s="129">
        <v>1863</v>
      </c>
      <c r="D46" s="196">
        <f>B46/$B$40</f>
        <v>3.3171533715075106E-2</v>
      </c>
      <c r="E46" s="279"/>
    </row>
    <row r="47" spans="1:13" x14ac:dyDescent="0.3">
      <c r="A47" s="6" t="s">
        <v>221</v>
      </c>
      <c r="B47" s="126">
        <v>733920046.58999956</v>
      </c>
      <c r="C47" s="129">
        <v>967</v>
      </c>
      <c r="D47" s="196">
        <f t="shared" ref="D47:D49" si="1">B47/$B$40</f>
        <v>0.12107783289275605</v>
      </c>
      <c r="E47" s="279"/>
    </row>
    <row r="48" spans="1:13" x14ac:dyDescent="0.3">
      <c r="A48" s="6" t="s">
        <v>222</v>
      </c>
      <c r="B48" s="126">
        <v>2408209202.8000002</v>
      </c>
      <c r="C48" s="129">
        <v>1652</v>
      </c>
      <c r="D48" s="196">
        <f t="shared" si="1"/>
        <v>0.39729225653691086</v>
      </c>
      <c r="E48" s="279"/>
    </row>
    <row r="49" spans="1:14" x14ac:dyDescent="0.3">
      <c r="A49" s="6" t="s">
        <v>223</v>
      </c>
      <c r="B49" s="126">
        <v>1748746822.9699981</v>
      </c>
      <c r="C49" s="129">
        <v>737</v>
      </c>
      <c r="D49" s="196">
        <f t="shared" si="1"/>
        <v>0.28849801362842975</v>
      </c>
      <c r="E49" s="279"/>
    </row>
    <row r="50" spans="1:14" ht="14" thickBot="1" x14ac:dyDescent="0.35">
      <c r="A50" s="4" t="s">
        <v>224</v>
      </c>
      <c r="B50" s="132">
        <v>969608675.9000001</v>
      </c>
      <c r="C50" s="287">
        <v>262</v>
      </c>
      <c r="D50" s="192">
        <f>B50/$B$40</f>
        <v>0.15996036322682775</v>
      </c>
      <c r="E50" s="279"/>
    </row>
    <row r="51" spans="1:14" ht="14" thickTop="1" x14ac:dyDescent="0.3">
      <c r="A51" s="1" t="s">
        <v>1</v>
      </c>
      <c r="B51" s="18">
        <f>SUM(B46:B50)</f>
        <v>6061555852.5899982</v>
      </c>
      <c r="C51" s="133">
        <f>SUM(C46:C50)</f>
        <v>5481</v>
      </c>
      <c r="D51" s="344">
        <f>SUM(D46:D50)</f>
        <v>0.99999999999999944</v>
      </c>
    </row>
    <row r="54" spans="1:14" x14ac:dyDescent="0.3">
      <c r="A54" s="187" t="s">
        <v>225</v>
      </c>
      <c r="B54" s="187"/>
      <c r="C54" s="187"/>
      <c r="D54" s="346"/>
      <c r="E54" s="346"/>
      <c r="F54" s="346"/>
      <c r="G54" s="346"/>
      <c r="H54" s="346"/>
      <c r="I54" s="346"/>
      <c r="J54" s="293"/>
      <c r="K54" s="164"/>
      <c r="L54" s="164"/>
      <c r="M54" s="164"/>
      <c r="N54" s="164"/>
    </row>
    <row r="55" spans="1:14" s="68" customFormat="1" x14ac:dyDescent="0.3">
      <c r="A55" s="107"/>
      <c r="B55" s="155" t="s">
        <v>1</v>
      </c>
      <c r="C55" s="281" t="s">
        <v>18</v>
      </c>
      <c r="D55" s="281" t="s">
        <v>19</v>
      </c>
      <c r="E55" s="281" t="s">
        <v>20</v>
      </c>
      <c r="F55" s="281" t="s">
        <v>21</v>
      </c>
      <c r="G55" s="281" t="s">
        <v>138</v>
      </c>
      <c r="H55" s="281" t="s">
        <v>139</v>
      </c>
      <c r="I55" s="281" t="s">
        <v>22</v>
      </c>
      <c r="J55" s="281" t="s">
        <v>23</v>
      </c>
      <c r="K55" s="313" t="s">
        <v>24</v>
      </c>
      <c r="L55" s="281" t="s">
        <v>25</v>
      </c>
      <c r="M55" s="313" t="s">
        <v>26</v>
      </c>
      <c r="N55" s="281" t="s">
        <v>27</v>
      </c>
    </row>
    <row r="56" spans="1:14" ht="14.5" x14ac:dyDescent="0.35">
      <c r="A56" s="153" t="s">
        <v>28</v>
      </c>
      <c r="B56" s="288">
        <f t="shared" ref="B56:B75" si="2">SUM(C56:N56)</f>
        <v>202882002.64000002</v>
      </c>
      <c r="C56" s="333">
        <v>48949530.899999999</v>
      </c>
      <c r="D56" s="333">
        <v>40842414.310000002</v>
      </c>
      <c r="E56" s="333">
        <v>27488363.07</v>
      </c>
      <c r="F56" s="333">
        <v>48194651.68</v>
      </c>
      <c r="G56" s="333">
        <v>37407042.68</v>
      </c>
      <c r="H56" s="333">
        <v>0</v>
      </c>
      <c r="I56" s="333"/>
      <c r="J56" s="333"/>
      <c r="K56" s="333"/>
      <c r="L56" s="333"/>
      <c r="M56" s="333"/>
      <c r="N56" s="333"/>
    </row>
    <row r="57" spans="1:14" ht="14.5" x14ac:dyDescent="0.35">
      <c r="A57" s="154" t="s">
        <v>29</v>
      </c>
      <c r="B57" s="282">
        <f>SUM(C57:N57)</f>
        <v>268927675.25999999</v>
      </c>
      <c r="C57" s="333">
        <v>53558575.390000001</v>
      </c>
      <c r="D57" s="333">
        <v>50387953.090000004</v>
      </c>
      <c r="E57" s="333">
        <v>72884578.189999998</v>
      </c>
      <c r="F57" s="333">
        <v>69469624.519999996</v>
      </c>
      <c r="G57" s="333">
        <v>17663237.239999998</v>
      </c>
      <c r="H57" s="333">
        <v>2722513</v>
      </c>
      <c r="I57" s="333">
        <v>2241193.83</v>
      </c>
      <c r="J57" s="333">
        <v>0</v>
      </c>
      <c r="K57" s="333"/>
      <c r="L57" s="333"/>
      <c r="M57" s="333"/>
      <c r="N57" s="333"/>
    </row>
    <row r="58" spans="1:14" ht="14.5" x14ac:dyDescent="0.35">
      <c r="A58" s="154" t="s">
        <v>30</v>
      </c>
      <c r="B58" s="282">
        <f t="shared" si="2"/>
        <v>38178219.810000002</v>
      </c>
      <c r="C58" s="333">
        <v>4833047</v>
      </c>
      <c r="D58" s="333">
        <v>5884841.7999999998</v>
      </c>
      <c r="E58" s="333">
        <v>18268450.710000001</v>
      </c>
      <c r="F58" s="333">
        <v>7422944.2999999998</v>
      </c>
      <c r="G58" s="333">
        <v>1768936</v>
      </c>
      <c r="H58" s="333"/>
      <c r="I58" s="333"/>
      <c r="J58" s="333"/>
      <c r="K58" s="333"/>
      <c r="L58" s="333"/>
      <c r="M58" s="333"/>
      <c r="N58" s="333"/>
    </row>
    <row r="59" spans="1:14" ht="14.5" x14ac:dyDescent="0.35">
      <c r="A59" s="154" t="s">
        <v>142</v>
      </c>
      <c r="B59" s="282">
        <f t="shared" si="2"/>
        <v>1634476</v>
      </c>
      <c r="C59" s="333">
        <v>0</v>
      </c>
      <c r="D59" s="333"/>
      <c r="E59" s="333"/>
      <c r="F59" s="333">
        <v>1634476</v>
      </c>
      <c r="G59" s="333"/>
      <c r="H59" s="333"/>
      <c r="I59" s="333"/>
      <c r="J59" s="333"/>
      <c r="K59" s="333"/>
      <c r="L59" s="333"/>
      <c r="M59" s="333"/>
      <c r="N59" s="333"/>
    </row>
    <row r="60" spans="1:14" ht="14.5" x14ac:dyDescent="0.35">
      <c r="A60" s="154" t="s">
        <v>31</v>
      </c>
      <c r="B60" s="282">
        <f t="shared" si="2"/>
        <v>19598987.5</v>
      </c>
      <c r="C60" s="333">
        <v>3482821.16</v>
      </c>
      <c r="D60" s="333"/>
      <c r="E60" s="333">
        <v>3715101.34</v>
      </c>
      <c r="F60" s="333">
        <v>5453904</v>
      </c>
      <c r="G60" s="333">
        <v>6947161</v>
      </c>
      <c r="H60" s="333"/>
      <c r="I60" s="333"/>
      <c r="J60" s="333"/>
      <c r="K60" s="333"/>
      <c r="L60" s="333"/>
      <c r="M60" s="333"/>
      <c r="N60" s="333"/>
    </row>
    <row r="61" spans="1:14" ht="14.5" x14ac:dyDescent="0.35">
      <c r="A61" s="154" t="s">
        <v>32</v>
      </c>
      <c r="B61" s="282">
        <f t="shared" si="2"/>
        <v>525407796.39000005</v>
      </c>
      <c r="C61" s="333">
        <v>147162415.33000001</v>
      </c>
      <c r="D61" s="333">
        <v>65052085.109999999</v>
      </c>
      <c r="E61" s="333">
        <v>119061121.87</v>
      </c>
      <c r="F61" s="333">
        <v>134072730.8</v>
      </c>
      <c r="G61" s="333">
        <v>43214650.119999997</v>
      </c>
      <c r="H61" s="333">
        <v>4496539.88</v>
      </c>
      <c r="I61" s="333">
        <v>1884201.98</v>
      </c>
      <c r="J61" s="333"/>
      <c r="K61" s="333"/>
      <c r="L61" s="333"/>
      <c r="M61" s="333"/>
      <c r="N61" s="333">
        <v>10464051.300000001</v>
      </c>
    </row>
    <row r="62" spans="1:14" ht="14.5" x14ac:dyDescent="0.35">
      <c r="A62" s="154" t="s">
        <v>143</v>
      </c>
      <c r="B62" s="282">
        <f t="shared" si="2"/>
        <v>11667786</v>
      </c>
      <c r="C62" s="333">
        <v>3732442</v>
      </c>
      <c r="D62" s="333"/>
      <c r="E62" s="333">
        <v>4185344</v>
      </c>
      <c r="F62" s="333"/>
      <c r="G62" s="333">
        <v>3750000</v>
      </c>
      <c r="H62" s="333"/>
      <c r="I62" s="333"/>
      <c r="J62" s="333"/>
      <c r="K62" s="333"/>
      <c r="L62" s="333"/>
      <c r="M62" s="333"/>
      <c r="N62" s="333"/>
    </row>
    <row r="63" spans="1:14" ht="14.5" x14ac:dyDescent="0.35">
      <c r="A63" s="154" t="s">
        <v>33</v>
      </c>
      <c r="B63" s="282">
        <f t="shared" si="2"/>
        <v>2582364.89</v>
      </c>
      <c r="C63" s="333">
        <v>942364.89</v>
      </c>
      <c r="D63" s="333"/>
      <c r="E63" s="333"/>
      <c r="F63" s="333"/>
      <c r="G63" s="333">
        <v>1640000</v>
      </c>
      <c r="H63" s="333"/>
      <c r="I63" s="333"/>
      <c r="J63" s="333"/>
      <c r="K63" s="333"/>
      <c r="L63" s="333"/>
      <c r="M63" s="333"/>
      <c r="N63" s="333"/>
    </row>
    <row r="64" spans="1:14" ht="14.5" x14ac:dyDescent="0.35">
      <c r="A64" s="154" t="s">
        <v>205</v>
      </c>
      <c r="B64" s="282">
        <f t="shared" si="2"/>
        <v>696064</v>
      </c>
      <c r="C64" s="333">
        <v>696064</v>
      </c>
      <c r="D64" s="333"/>
      <c r="E64" s="333"/>
      <c r="F64" s="333"/>
      <c r="G64" s="333"/>
      <c r="H64" s="333"/>
      <c r="I64" s="333"/>
      <c r="J64" s="333"/>
      <c r="K64" s="333"/>
      <c r="L64" s="333"/>
      <c r="M64" s="333"/>
      <c r="N64" s="333"/>
    </row>
    <row r="65" spans="1:14" ht="14.5" x14ac:dyDescent="0.35">
      <c r="A65" s="154" t="s">
        <v>34</v>
      </c>
      <c r="B65" s="282">
        <f t="shared" si="2"/>
        <v>12200787.01</v>
      </c>
      <c r="C65" s="333">
        <v>1783423.01</v>
      </c>
      <c r="D65" s="333">
        <v>429060</v>
      </c>
      <c r="E65" s="333">
        <v>1696800</v>
      </c>
      <c r="F65" s="333">
        <v>6096965</v>
      </c>
      <c r="G65" s="333">
        <v>2194539</v>
      </c>
      <c r="H65" s="333"/>
      <c r="I65" s="333"/>
      <c r="J65" s="333"/>
      <c r="K65" s="333"/>
      <c r="L65" s="333"/>
      <c r="M65" s="333"/>
      <c r="N65" s="333"/>
    </row>
    <row r="66" spans="1:14" ht="14.5" x14ac:dyDescent="0.35">
      <c r="A66" s="154" t="s">
        <v>35</v>
      </c>
      <c r="B66" s="282">
        <f t="shared" si="2"/>
        <v>216903902.38</v>
      </c>
      <c r="C66" s="333">
        <v>66144442.030000001</v>
      </c>
      <c r="D66" s="333">
        <v>42503530.259999998</v>
      </c>
      <c r="E66" s="333">
        <v>36345477.090000004</v>
      </c>
      <c r="F66" s="333">
        <v>36638910</v>
      </c>
      <c r="G66" s="333">
        <v>30392542</v>
      </c>
      <c r="H66" s="333"/>
      <c r="I66" s="333"/>
      <c r="J66" s="333"/>
      <c r="K66" s="333">
        <v>0</v>
      </c>
      <c r="L66" s="333"/>
      <c r="M66" s="333"/>
      <c r="N66" s="333">
        <v>4879001</v>
      </c>
    </row>
    <row r="67" spans="1:14" ht="14.5" x14ac:dyDescent="0.35">
      <c r="A67" s="154" t="s">
        <v>36</v>
      </c>
      <c r="B67" s="282">
        <f t="shared" si="2"/>
        <v>2704740693.4000001</v>
      </c>
      <c r="C67" s="333">
        <v>658856752.84000003</v>
      </c>
      <c r="D67" s="333">
        <v>373354564.86000001</v>
      </c>
      <c r="E67" s="333">
        <v>548056405.35000002</v>
      </c>
      <c r="F67" s="333">
        <v>621532145.48000002</v>
      </c>
      <c r="G67" s="333">
        <v>458652073.82999998</v>
      </c>
      <c r="H67" s="333">
        <v>8920715.6500000004</v>
      </c>
      <c r="I67" s="333">
        <v>4287145</v>
      </c>
      <c r="J67" s="333"/>
      <c r="K67" s="333">
        <v>2600613</v>
      </c>
      <c r="L67" s="333">
        <v>6803248.4000000004</v>
      </c>
      <c r="M67" s="333">
        <v>3861810</v>
      </c>
      <c r="N67" s="333">
        <v>17815218.989999998</v>
      </c>
    </row>
    <row r="68" spans="1:14" ht="14.5" x14ac:dyDescent="0.35">
      <c r="A68" s="154" t="s">
        <v>37</v>
      </c>
      <c r="B68" s="282">
        <f t="shared" si="2"/>
        <v>249482935.50999999</v>
      </c>
      <c r="C68" s="333">
        <v>62246322.899999999</v>
      </c>
      <c r="D68" s="333">
        <v>52540605.759999998</v>
      </c>
      <c r="E68" s="333">
        <v>59579943.310000002</v>
      </c>
      <c r="F68" s="333">
        <v>57769832.880000003</v>
      </c>
      <c r="G68" s="333">
        <v>17346230.66</v>
      </c>
      <c r="H68" s="333"/>
      <c r="I68" s="333"/>
      <c r="J68" s="333"/>
      <c r="K68" s="333"/>
      <c r="L68" s="333"/>
      <c r="M68" s="333"/>
      <c r="N68" s="333"/>
    </row>
    <row r="69" spans="1:14" ht="14.5" x14ac:dyDescent="0.35">
      <c r="A69" s="154" t="s">
        <v>144</v>
      </c>
      <c r="B69" s="282">
        <f t="shared" si="2"/>
        <v>17887272.199999999</v>
      </c>
      <c r="C69" s="333">
        <v>1700000</v>
      </c>
      <c r="D69" s="333">
        <v>5229483</v>
      </c>
      <c r="E69" s="333">
        <v>1193671.2</v>
      </c>
      <c r="F69" s="333">
        <v>4897041</v>
      </c>
      <c r="G69" s="333">
        <v>4867077</v>
      </c>
      <c r="H69" s="333"/>
      <c r="I69" s="333"/>
      <c r="J69" s="333"/>
      <c r="K69" s="333"/>
      <c r="L69" s="333"/>
      <c r="M69" s="333"/>
      <c r="N69" s="333"/>
    </row>
    <row r="70" spans="1:14" ht="14.5" x14ac:dyDescent="0.35">
      <c r="A70" s="154" t="s">
        <v>38</v>
      </c>
      <c r="B70" s="282">
        <f t="shared" si="2"/>
        <v>13780891.310000001</v>
      </c>
      <c r="C70" s="333">
        <v>6977023.6900000004</v>
      </c>
      <c r="D70" s="333">
        <v>628083.4</v>
      </c>
      <c r="E70" s="333">
        <v>4061279.22</v>
      </c>
      <c r="F70" s="333">
        <v>2114505</v>
      </c>
      <c r="G70" s="333"/>
      <c r="H70" s="333"/>
      <c r="I70" s="333"/>
      <c r="J70" s="333"/>
      <c r="K70" s="333"/>
      <c r="L70" s="333"/>
      <c r="M70" s="333"/>
      <c r="N70" s="333"/>
    </row>
    <row r="71" spans="1:14" ht="14.5" x14ac:dyDescent="0.35">
      <c r="A71" s="154" t="s">
        <v>39</v>
      </c>
      <c r="B71" s="282">
        <f t="shared" si="2"/>
        <v>5109385.5600000005</v>
      </c>
      <c r="C71" s="333">
        <v>1619667.56</v>
      </c>
      <c r="D71" s="333"/>
      <c r="E71" s="333">
        <v>3489718</v>
      </c>
      <c r="F71" s="333">
        <v>0</v>
      </c>
      <c r="G71" s="333">
        <v>0</v>
      </c>
      <c r="H71" s="333"/>
      <c r="I71" s="333"/>
      <c r="J71" s="333"/>
      <c r="K71" s="333"/>
      <c r="L71" s="333"/>
      <c r="M71" s="333"/>
      <c r="N71" s="333"/>
    </row>
    <row r="72" spans="1:14" ht="14.5" x14ac:dyDescent="0.35">
      <c r="A72" s="154" t="s">
        <v>40</v>
      </c>
      <c r="B72" s="282">
        <f t="shared" si="2"/>
        <v>1713270028.3099999</v>
      </c>
      <c r="C72" s="333">
        <v>421991545.57999998</v>
      </c>
      <c r="D72" s="333">
        <v>275284498.19999999</v>
      </c>
      <c r="E72" s="333">
        <v>309351616.92000002</v>
      </c>
      <c r="F72" s="333">
        <v>441232852.54000002</v>
      </c>
      <c r="G72" s="333">
        <v>246516676.06999999</v>
      </c>
      <c r="H72" s="333">
        <v>5480252</v>
      </c>
      <c r="I72" s="333"/>
      <c r="J72" s="333"/>
      <c r="K72" s="333"/>
      <c r="L72" s="333"/>
      <c r="M72" s="333">
        <v>2111474</v>
      </c>
      <c r="N72" s="333">
        <v>11301113</v>
      </c>
    </row>
    <row r="73" spans="1:14" ht="14.5" x14ac:dyDescent="0.35">
      <c r="A73" s="154" t="s">
        <v>41</v>
      </c>
      <c r="B73" s="282">
        <f t="shared" si="2"/>
        <v>38333824.5</v>
      </c>
      <c r="C73" s="333">
        <v>9892322.9600000009</v>
      </c>
      <c r="D73" s="333">
        <v>3966710.54</v>
      </c>
      <c r="E73" s="333">
        <v>11482919</v>
      </c>
      <c r="F73" s="333">
        <v>2366456</v>
      </c>
      <c r="G73" s="333">
        <v>10625416</v>
      </c>
      <c r="H73" s="333"/>
      <c r="I73" s="333"/>
      <c r="J73" s="333"/>
      <c r="K73" s="333"/>
      <c r="L73" s="333"/>
      <c r="M73" s="333"/>
      <c r="N73" s="333"/>
    </row>
    <row r="74" spans="1:14" ht="14.5" x14ac:dyDescent="0.35">
      <c r="A74" s="154" t="s">
        <v>145</v>
      </c>
      <c r="B74" s="282">
        <f t="shared" si="2"/>
        <v>14266188.77</v>
      </c>
      <c r="C74" s="333">
        <v>2602782.12</v>
      </c>
      <c r="D74" s="333">
        <v>3062242.65</v>
      </c>
      <c r="E74" s="333">
        <v>3525231</v>
      </c>
      <c r="F74" s="333">
        <v>5075933</v>
      </c>
      <c r="G74" s="333"/>
      <c r="H74" s="333"/>
      <c r="I74" s="333"/>
      <c r="J74" s="333"/>
      <c r="K74" s="333"/>
      <c r="L74" s="333"/>
      <c r="M74" s="333"/>
      <c r="N74" s="333"/>
    </row>
    <row r="75" spans="1:14" ht="15" thickBot="1" x14ac:dyDescent="0.4">
      <c r="A75" s="154" t="s">
        <v>165</v>
      </c>
      <c r="B75" s="289">
        <f t="shared" si="2"/>
        <v>4004571.15</v>
      </c>
      <c r="C75" s="334">
        <v>2641003.98</v>
      </c>
      <c r="D75" s="334">
        <v>1363567.17</v>
      </c>
      <c r="E75" s="334"/>
      <c r="F75" s="334"/>
      <c r="G75" s="334"/>
      <c r="H75" s="334"/>
      <c r="I75" s="334"/>
      <c r="J75" s="334"/>
      <c r="K75" s="334"/>
      <c r="L75" s="334"/>
      <c r="M75" s="334"/>
      <c r="N75" s="334"/>
    </row>
    <row r="76" spans="1:14" ht="14" thickTop="1" x14ac:dyDescent="0.3">
      <c r="A76" s="45" t="s">
        <v>1</v>
      </c>
      <c r="B76" s="20">
        <f>SUM(C76:N76)</f>
        <v>6061555852.5899992</v>
      </c>
      <c r="C76" s="20">
        <f t="shared" ref="C76:I76" si="3">SUM(C56:C75)</f>
        <v>1499812547.3399999</v>
      </c>
      <c r="D76" s="20">
        <f t="shared" si="3"/>
        <v>920529640.14999986</v>
      </c>
      <c r="E76" s="20">
        <f t="shared" si="3"/>
        <v>1224386020.2700002</v>
      </c>
      <c r="F76" s="20">
        <f t="shared" si="3"/>
        <v>1443972972.2</v>
      </c>
      <c r="G76" s="20">
        <f t="shared" si="3"/>
        <v>882985581.5999999</v>
      </c>
      <c r="H76" s="20">
        <f t="shared" si="3"/>
        <v>21620020.530000001</v>
      </c>
      <c r="I76" s="24">
        <f t="shared" si="3"/>
        <v>8412540.8100000005</v>
      </c>
      <c r="J76" s="24">
        <f t="shared" ref="J76:N76" si="4">SUM(J56:J75)</f>
        <v>0</v>
      </c>
      <c r="K76" s="24">
        <f t="shared" si="4"/>
        <v>2600613</v>
      </c>
      <c r="L76" s="24">
        <f t="shared" si="4"/>
        <v>6803248.4000000004</v>
      </c>
      <c r="M76" s="24">
        <f t="shared" si="4"/>
        <v>5973284</v>
      </c>
      <c r="N76" s="24">
        <f t="shared" si="4"/>
        <v>44459384.289999999</v>
      </c>
    </row>
    <row r="77" spans="1:14" x14ac:dyDescent="0.3">
      <c r="A77" s="37"/>
      <c r="B77" s="38"/>
      <c r="C77" s="38"/>
      <c r="D77" s="38"/>
      <c r="E77" s="38"/>
      <c r="F77" s="38"/>
      <c r="G77" s="38"/>
      <c r="H77" s="38"/>
      <c r="I77" s="39"/>
      <c r="J77" s="39"/>
      <c r="K77" s="39"/>
      <c r="L77" s="39"/>
      <c r="M77" s="39"/>
      <c r="N77" s="39"/>
    </row>
    <row r="78" spans="1:14" x14ac:dyDescent="0.3">
      <c r="A78" s="37"/>
      <c r="B78" s="38"/>
      <c r="C78" s="38"/>
      <c r="D78" s="38"/>
      <c r="E78" s="38"/>
      <c r="F78" s="38"/>
      <c r="G78" s="38"/>
      <c r="H78" s="38"/>
      <c r="I78" s="39"/>
      <c r="J78" s="39"/>
      <c r="K78" s="39"/>
      <c r="L78" s="39"/>
      <c r="M78" s="39"/>
      <c r="N78" s="39"/>
    </row>
    <row r="80" spans="1:14" x14ac:dyDescent="0.3">
      <c r="A80" s="187" t="s">
        <v>226</v>
      </c>
      <c r="B80" s="187"/>
      <c r="C80" s="187"/>
      <c r="D80" s="187"/>
      <c r="E80" s="187"/>
      <c r="F80" s="187"/>
      <c r="G80" s="187"/>
      <c r="H80" s="187"/>
      <c r="I80" s="187"/>
      <c r="J80" s="164"/>
      <c r="K80" s="164"/>
      <c r="L80" s="164"/>
      <c r="M80" s="164"/>
      <c r="N80" s="16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row>
    <row r="82" spans="1:16" x14ac:dyDescent="0.3">
      <c r="A82" s="12"/>
      <c r="B82" s="11"/>
      <c r="C82" s="13"/>
      <c r="D82" s="13"/>
      <c r="E82" s="17"/>
      <c r="F82" s="13"/>
      <c r="G82" s="13"/>
      <c r="H82" s="13"/>
      <c r="I82" s="13"/>
      <c r="J82" s="13"/>
      <c r="K82" s="13"/>
      <c r="L82" s="13"/>
      <c r="M82" s="13"/>
      <c r="N82" s="13"/>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row>
    <row r="84" spans="1:16" x14ac:dyDescent="0.3">
      <c r="A84" s="41" t="s">
        <v>182</v>
      </c>
      <c r="B84" s="71">
        <f>SUM(C84:N84)</f>
        <v>6053399378.5899992</v>
      </c>
      <c r="C84" s="137">
        <v>1499812547.3399999</v>
      </c>
      <c r="D84" s="33">
        <v>920529640.14999998</v>
      </c>
      <c r="E84" s="33">
        <v>1216229546.27</v>
      </c>
      <c r="F84" s="137">
        <v>1443972972.1999998</v>
      </c>
      <c r="G84" s="137">
        <v>882985581.60000002</v>
      </c>
      <c r="H84" s="137">
        <v>21620020.530000001</v>
      </c>
      <c r="I84" s="50">
        <v>8412540.8100000005</v>
      </c>
      <c r="J84" s="50">
        <v>0</v>
      </c>
      <c r="K84" s="50">
        <v>2600613</v>
      </c>
      <c r="L84" s="50">
        <v>6803248.4000000004</v>
      </c>
      <c r="M84" s="50">
        <v>5973284</v>
      </c>
      <c r="N84" s="50">
        <v>44459384.289999992</v>
      </c>
    </row>
    <row r="85" spans="1:16" x14ac:dyDescent="0.3">
      <c r="A85" s="49" t="s">
        <v>183</v>
      </c>
      <c r="B85" s="75">
        <f t="shared" ref="B85:B87" si="5">SUM(C85:N85)</f>
        <v>4762856</v>
      </c>
      <c r="C85" s="33"/>
      <c r="D85" s="33">
        <v>0</v>
      </c>
      <c r="E85" s="33">
        <v>4762856</v>
      </c>
      <c r="F85" s="33"/>
      <c r="G85" s="33"/>
      <c r="H85" s="33"/>
      <c r="I85" s="27"/>
      <c r="J85" s="27"/>
      <c r="K85" s="27"/>
      <c r="L85" s="27"/>
      <c r="M85" s="27"/>
      <c r="N85" s="27"/>
      <c r="O85" s="70"/>
    </row>
    <row r="86" spans="1:16" x14ac:dyDescent="0.3">
      <c r="A86" s="42" t="s">
        <v>184</v>
      </c>
      <c r="B86" s="75">
        <f t="shared" si="5"/>
        <v>3393618</v>
      </c>
      <c r="C86" s="31"/>
      <c r="D86" s="31"/>
      <c r="E86" s="32">
        <v>3393618</v>
      </c>
      <c r="F86" s="33"/>
      <c r="G86" s="33"/>
      <c r="H86" s="33"/>
      <c r="I86" s="27"/>
      <c r="J86" s="27"/>
      <c r="K86" s="27"/>
      <c r="L86" s="27"/>
      <c r="M86" s="27"/>
      <c r="N86" s="28"/>
    </row>
    <row r="87" spans="1:16" ht="14" thickBot="1" x14ac:dyDescent="0.35">
      <c r="A87" s="42" t="s">
        <v>185</v>
      </c>
      <c r="B87" s="75">
        <f t="shared" si="5"/>
        <v>0</v>
      </c>
      <c r="C87" s="31"/>
      <c r="D87" s="31"/>
      <c r="E87" s="32"/>
      <c r="F87" s="33"/>
      <c r="G87" s="33"/>
      <c r="H87" s="33"/>
      <c r="I87" s="27"/>
      <c r="J87" s="27"/>
      <c r="K87" s="27"/>
      <c r="L87" s="27"/>
      <c r="M87" s="27"/>
      <c r="N87" s="28"/>
    </row>
    <row r="88" spans="1:16" ht="14" thickTop="1" x14ac:dyDescent="0.3">
      <c r="A88" s="44" t="s">
        <v>1</v>
      </c>
      <c r="B88" s="22">
        <f t="shared" ref="B88:I88" si="6">SUM(B84:B87)</f>
        <v>6061555852.5899992</v>
      </c>
      <c r="C88" s="22">
        <f t="shared" si="6"/>
        <v>1499812547.3399999</v>
      </c>
      <c r="D88" s="22">
        <f t="shared" si="6"/>
        <v>920529640.14999998</v>
      </c>
      <c r="E88" s="22">
        <f t="shared" si="6"/>
        <v>1224386020.27</v>
      </c>
      <c r="F88" s="22">
        <f t="shared" si="6"/>
        <v>1443972972.1999998</v>
      </c>
      <c r="G88" s="22">
        <f t="shared" si="6"/>
        <v>882985581.60000002</v>
      </c>
      <c r="H88" s="22">
        <f t="shared" si="6"/>
        <v>21620020.530000001</v>
      </c>
      <c r="I88" s="22">
        <f t="shared" si="6"/>
        <v>8412540.8100000005</v>
      </c>
      <c r="J88" s="22">
        <f t="shared" ref="J88:N88" si="7">SUM(J84:J87)</f>
        <v>0</v>
      </c>
      <c r="K88" s="22">
        <f t="shared" si="7"/>
        <v>2600613</v>
      </c>
      <c r="L88" s="22">
        <f t="shared" si="7"/>
        <v>6803248.4000000004</v>
      </c>
      <c r="M88" s="22">
        <f t="shared" si="7"/>
        <v>5973284</v>
      </c>
      <c r="N88" s="23">
        <f t="shared" si="7"/>
        <v>44459384.289999992</v>
      </c>
    </row>
    <row r="89" spans="1:16" x14ac:dyDescent="0.3">
      <c r="A89" s="26"/>
      <c r="B89" s="40"/>
      <c r="C89" s="40"/>
      <c r="D89" s="40"/>
      <c r="E89" s="40"/>
      <c r="F89" s="40"/>
      <c r="G89" s="40"/>
      <c r="H89" s="40"/>
      <c r="I89" s="40"/>
      <c r="J89" s="40"/>
      <c r="K89" s="40"/>
      <c r="L89" s="40"/>
      <c r="M89" s="40"/>
      <c r="N89" s="40"/>
    </row>
    <row r="91" spans="1:16" x14ac:dyDescent="0.3">
      <c r="A91" s="187" t="s">
        <v>227</v>
      </c>
      <c r="B91" s="187"/>
      <c r="C91" s="187"/>
      <c r="D91" s="187"/>
      <c r="E91" s="187"/>
      <c r="F91" s="187"/>
      <c r="G91" s="187"/>
      <c r="H91" s="187"/>
      <c r="I91" s="187"/>
      <c r="J91" s="164"/>
      <c r="K91" s="164"/>
      <c r="L91" s="164"/>
      <c r="M91" s="164"/>
      <c r="N91" s="16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row>
    <row r="93" spans="1:16" x14ac:dyDescent="0.3">
      <c r="A93" s="46"/>
      <c r="B93" s="11"/>
      <c r="C93" s="13"/>
      <c r="D93" s="13"/>
      <c r="E93" s="17"/>
      <c r="F93" s="13"/>
      <c r="G93" s="13"/>
      <c r="H93" s="13"/>
      <c r="I93" s="13"/>
      <c r="J93" s="13"/>
      <c r="K93" s="13"/>
      <c r="L93" s="13"/>
      <c r="M93" s="13"/>
      <c r="N93" s="13"/>
      <c r="O93" s="69"/>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row>
    <row r="95" spans="1:16" x14ac:dyDescent="0.3">
      <c r="A95" s="42" t="s">
        <v>62</v>
      </c>
      <c r="B95" s="71">
        <f>SUM(C95:N95)</f>
        <v>678232926.21000004</v>
      </c>
      <c r="C95" s="72">
        <v>91544668.129999995</v>
      </c>
      <c r="D95" s="73">
        <v>79844316.209999993</v>
      </c>
      <c r="E95" s="73">
        <v>120455562.56999999</v>
      </c>
      <c r="F95" s="73">
        <v>192569662.97</v>
      </c>
      <c r="G95" s="73">
        <v>179260374</v>
      </c>
      <c r="H95" s="78">
        <v>0</v>
      </c>
      <c r="I95" s="74"/>
      <c r="J95" s="75"/>
      <c r="K95" s="71">
        <v>0</v>
      </c>
      <c r="L95" s="76"/>
      <c r="M95" s="76"/>
      <c r="N95" s="71">
        <v>14558342.33</v>
      </c>
    </row>
    <row r="96" spans="1:16" x14ac:dyDescent="0.3">
      <c r="A96" s="42" t="s">
        <v>63</v>
      </c>
      <c r="B96" s="75">
        <f t="shared" ref="B96:B99" si="8">SUM(C96:N96)</f>
        <v>1367622696.8699999</v>
      </c>
      <c r="C96" s="77">
        <v>201578211.16</v>
      </c>
      <c r="D96" s="78">
        <v>159485261.75</v>
      </c>
      <c r="E96" s="78">
        <v>241608444</v>
      </c>
      <c r="F96" s="78">
        <v>379669006.76999998</v>
      </c>
      <c r="G96" s="78">
        <v>363707637.12</v>
      </c>
      <c r="H96" s="78">
        <v>6779925</v>
      </c>
      <c r="I96" s="74"/>
      <c r="J96" s="75"/>
      <c r="K96" s="75"/>
      <c r="L96" s="74">
        <v>3922630</v>
      </c>
      <c r="M96" s="74"/>
      <c r="N96" s="75">
        <v>10871581.07</v>
      </c>
    </row>
    <row r="97" spans="1:15" x14ac:dyDescent="0.3">
      <c r="A97" s="42" t="s">
        <v>64</v>
      </c>
      <c r="B97" s="75">
        <f t="shared" si="8"/>
        <v>1066670338.0599999</v>
      </c>
      <c r="C97" s="77">
        <v>192413266.01999998</v>
      </c>
      <c r="D97" s="78">
        <v>143941036.97</v>
      </c>
      <c r="E97" s="78">
        <v>260773489.25999999</v>
      </c>
      <c r="F97" s="78">
        <v>320511385.55000001</v>
      </c>
      <c r="G97" s="78">
        <v>130104832</v>
      </c>
      <c r="H97" s="78">
        <v>5761928.5</v>
      </c>
      <c r="I97" s="74">
        <v>4287145</v>
      </c>
      <c r="J97" s="75"/>
      <c r="K97" s="75"/>
      <c r="L97" s="74"/>
      <c r="M97" s="74">
        <v>4406029</v>
      </c>
      <c r="N97" s="75">
        <v>4471225.76</v>
      </c>
    </row>
    <row r="98" spans="1:15" x14ac:dyDescent="0.3">
      <c r="A98" s="42" t="s">
        <v>65</v>
      </c>
      <c r="B98" s="75">
        <f t="shared" si="8"/>
        <v>1444310841.3700001</v>
      </c>
      <c r="C98" s="77">
        <v>401565518.16999996</v>
      </c>
      <c r="D98" s="78">
        <v>213300687.06999999</v>
      </c>
      <c r="E98" s="78">
        <v>305097805.25</v>
      </c>
      <c r="F98" s="78">
        <v>384916938.52999997</v>
      </c>
      <c r="G98" s="78">
        <v>128146574.48999999</v>
      </c>
      <c r="H98" s="78">
        <v>5348403.92</v>
      </c>
      <c r="I98" s="74"/>
      <c r="J98" s="75">
        <v>0</v>
      </c>
      <c r="K98" s="75"/>
      <c r="L98" s="74"/>
      <c r="M98" s="74"/>
      <c r="N98" s="75">
        <v>5934913.9400000004</v>
      </c>
    </row>
    <row r="99" spans="1:15" ht="14" thickBot="1" x14ac:dyDescent="0.35">
      <c r="A99" s="43" t="s">
        <v>66</v>
      </c>
      <c r="B99" s="79">
        <f t="shared" si="8"/>
        <v>1504719050.0799999</v>
      </c>
      <c r="C99" s="80">
        <v>612710883.86000001</v>
      </c>
      <c r="D99" s="80">
        <v>323958338.14999998</v>
      </c>
      <c r="E99" s="80">
        <v>296450719.19</v>
      </c>
      <c r="F99" s="80">
        <v>166305978.38</v>
      </c>
      <c r="G99" s="80">
        <v>81766163.989999995</v>
      </c>
      <c r="H99" s="80">
        <v>3729763.11</v>
      </c>
      <c r="I99" s="81">
        <v>4125395.81</v>
      </c>
      <c r="J99" s="79"/>
      <c r="K99" s="79">
        <v>2600613</v>
      </c>
      <c r="L99" s="81">
        <v>2880618.4</v>
      </c>
      <c r="M99" s="81">
        <v>1567255</v>
      </c>
      <c r="N99" s="79">
        <v>8623321.1899999995</v>
      </c>
    </row>
    <row r="100" spans="1:15" ht="14" thickTop="1" x14ac:dyDescent="0.3">
      <c r="A100" s="42" t="s">
        <v>1</v>
      </c>
      <c r="B100" s="82">
        <f>SUM(B95:B99)</f>
        <v>6061555852.5900002</v>
      </c>
      <c r="C100" s="82">
        <f>SUM(C95:C99)</f>
        <v>1499812547.3399999</v>
      </c>
      <c r="D100" s="82">
        <f t="shared" ref="D100:I100" si="9">SUM(D95:D99)</f>
        <v>920529640.14999998</v>
      </c>
      <c r="E100" s="82">
        <f t="shared" si="9"/>
        <v>1224386020.27</v>
      </c>
      <c r="F100" s="82">
        <f t="shared" si="9"/>
        <v>1443972972.1999998</v>
      </c>
      <c r="G100" s="82">
        <f t="shared" si="9"/>
        <v>882985581.60000002</v>
      </c>
      <c r="H100" s="82">
        <f t="shared" si="9"/>
        <v>21620020.530000001</v>
      </c>
      <c r="I100" s="82">
        <f t="shared" si="9"/>
        <v>8412540.8100000005</v>
      </c>
      <c r="J100" s="82">
        <f t="shared" ref="J100:N100" si="10">SUM(J95:J99)</f>
        <v>0</v>
      </c>
      <c r="K100" s="82">
        <f t="shared" si="10"/>
        <v>2600613</v>
      </c>
      <c r="L100" s="82">
        <f t="shared" si="10"/>
        <v>6803248.4000000004</v>
      </c>
      <c r="M100" s="82">
        <f t="shared" si="10"/>
        <v>5973284</v>
      </c>
      <c r="N100" s="82">
        <f t="shared" si="10"/>
        <v>44459384.289999992</v>
      </c>
      <c r="O100" s="70"/>
    </row>
    <row r="101" spans="1:15" x14ac:dyDescent="0.3">
      <c r="A101" s="26"/>
      <c r="B101" s="83"/>
      <c r="C101" s="83"/>
      <c r="D101" s="83"/>
      <c r="E101" s="83"/>
      <c r="F101" s="83"/>
      <c r="G101" s="83"/>
      <c r="H101" s="83"/>
      <c r="I101" s="83"/>
      <c r="J101" s="83"/>
      <c r="K101" s="83"/>
      <c r="L101" s="83"/>
      <c r="M101" s="83"/>
      <c r="N101" s="83"/>
      <c r="O101" s="67"/>
    </row>
    <row r="102" spans="1:15" x14ac:dyDescent="0.3">
      <c r="A102" s="67"/>
    </row>
    <row r="103" spans="1:15" x14ac:dyDescent="0.3">
      <c r="A103" s="187" t="s">
        <v>228</v>
      </c>
      <c r="B103" s="187"/>
      <c r="C103" s="187"/>
      <c r="D103" s="187"/>
      <c r="E103" s="187"/>
      <c r="F103" s="187"/>
      <c r="G103" s="187"/>
      <c r="H103" s="187"/>
      <c r="I103" s="187"/>
      <c r="J103" s="164"/>
      <c r="K103" s="164"/>
      <c r="L103" s="164"/>
      <c r="M103" s="164"/>
      <c r="N103" s="164"/>
    </row>
    <row r="104" spans="1:15" x14ac:dyDescent="0.3">
      <c r="A104" s="108"/>
      <c r="B104" s="109"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row>
    <row r="105" spans="1:15" x14ac:dyDescent="0.3">
      <c r="A105" s="46"/>
      <c r="B105" s="11"/>
      <c r="C105" s="13"/>
      <c r="D105" s="13"/>
      <c r="E105" s="17"/>
      <c r="F105" s="13"/>
      <c r="G105" s="13"/>
      <c r="H105" s="13"/>
      <c r="I105" s="13"/>
      <c r="J105" s="13"/>
      <c r="K105" s="13"/>
      <c r="L105" s="13"/>
      <c r="M105" s="13"/>
      <c r="N105" s="13"/>
    </row>
    <row r="106" spans="1:15" ht="27" x14ac:dyDescent="0.3">
      <c r="A106" s="47"/>
      <c r="B106" s="25" t="s">
        <v>4</v>
      </c>
      <c r="C106" s="15" t="s">
        <v>4</v>
      </c>
      <c r="D106" s="15" t="s">
        <v>4</v>
      </c>
      <c r="E106" s="14" t="s">
        <v>4</v>
      </c>
      <c r="F106" s="15" t="s">
        <v>4</v>
      </c>
      <c r="G106" s="15" t="s">
        <v>4</v>
      </c>
      <c r="H106" s="15" t="s">
        <v>4</v>
      </c>
      <c r="I106" s="15" t="s">
        <v>4</v>
      </c>
      <c r="J106" s="15" t="s">
        <v>4</v>
      </c>
      <c r="K106" s="15" t="s">
        <v>4</v>
      </c>
      <c r="L106" s="15" t="s">
        <v>4</v>
      </c>
      <c r="M106" s="15" t="s">
        <v>4</v>
      </c>
      <c r="N106" s="15" t="s">
        <v>4</v>
      </c>
    </row>
    <row r="107" spans="1:15" x14ac:dyDescent="0.3">
      <c r="A107" s="42" t="s">
        <v>201</v>
      </c>
      <c r="B107" s="140">
        <f t="shared" ref="B107:B110" si="11">SUM(C107:N107)</f>
        <v>6038383500.5900002</v>
      </c>
      <c r="C107" s="138">
        <v>1489239106.3399999</v>
      </c>
      <c r="D107" s="85">
        <v>915324461.14999998</v>
      </c>
      <c r="E107" s="85">
        <v>1222850676.27</v>
      </c>
      <c r="F107" s="85">
        <v>1442959430.2</v>
      </c>
      <c r="G107" s="85">
        <v>878140735.60000002</v>
      </c>
      <c r="H107" s="85">
        <v>21620020.530000001</v>
      </c>
      <c r="I107" s="86">
        <v>8412540.8100000005</v>
      </c>
      <c r="J107" s="86">
        <v>0</v>
      </c>
      <c r="K107" s="86">
        <v>2600613</v>
      </c>
      <c r="L107" s="86">
        <v>6803248.4000000004</v>
      </c>
      <c r="M107" s="86">
        <v>5973284</v>
      </c>
      <c r="N107" s="87">
        <v>44459384.289999999</v>
      </c>
    </row>
    <row r="108" spans="1:15" x14ac:dyDescent="0.3">
      <c r="A108" s="42" t="s">
        <v>202</v>
      </c>
      <c r="B108" s="88">
        <f t="shared" si="11"/>
        <v>20686214</v>
      </c>
      <c r="C108" s="89">
        <v>8087303</v>
      </c>
      <c r="D108" s="90">
        <v>5205179</v>
      </c>
      <c r="E108" s="90">
        <v>1535344</v>
      </c>
      <c r="F108" s="90">
        <v>1013542</v>
      </c>
      <c r="G108" s="90">
        <v>4844846</v>
      </c>
      <c r="H108" s="90"/>
      <c r="I108" s="91"/>
      <c r="J108" s="91"/>
      <c r="K108" s="91"/>
      <c r="L108" s="91"/>
      <c r="M108" s="91"/>
      <c r="N108" s="92"/>
    </row>
    <row r="109" spans="1:15" x14ac:dyDescent="0.3">
      <c r="A109" s="42" t="s">
        <v>58</v>
      </c>
      <c r="B109" s="88">
        <f t="shared" si="11"/>
        <v>2486138</v>
      </c>
      <c r="C109" s="89">
        <v>2486138</v>
      </c>
      <c r="D109" s="90">
        <v>0</v>
      </c>
      <c r="E109" s="90">
        <v>0</v>
      </c>
      <c r="F109" s="90">
        <v>0</v>
      </c>
      <c r="G109" s="90">
        <v>0</v>
      </c>
      <c r="H109" s="90">
        <v>0</v>
      </c>
      <c r="I109" s="91">
        <v>0</v>
      </c>
      <c r="J109" s="91">
        <v>0</v>
      </c>
      <c r="K109" s="91">
        <v>0</v>
      </c>
      <c r="L109" s="91">
        <v>0</v>
      </c>
      <c r="M109" s="91">
        <v>0</v>
      </c>
      <c r="N109" s="92">
        <v>0</v>
      </c>
    </row>
    <row r="110" spans="1:15" ht="14" thickBot="1" x14ac:dyDescent="0.35">
      <c r="A110" s="43" t="s">
        <v>203</v>
      </c>
      <c r="B110" s="148">
        <f t="shared" si="11"/>
        <v>0</v>
      </c>
      <c r="C110" s="89">
        <v>0</v>
      </c>
      <c r="D110" s="90">
        <v>0</v>
      </c>
      <c r="E110" s="90">
        <v>0</v>
      </c>
      <c r="F110" s="90">
        <v>0</v>
      </c>
      <c r="G110" s="90">
        <v>0</v>
      </c>
      <c r="H110" s="90">
        <v>0</v>
      </c>
      <c r="I110" s="91">
        <v>0</v>
      </c>
      <c r="J110" s="91">
        <v>0</v>
      </c>
      <c r="K110" s="91">
        <v>0</v>
      </c>
      <c r="L110" s="91">
        <v>0</v>
      </c>
      <c r="M110" s="91">
        <v>0</v>
      </c>
      <c r="N110" s="96">
        <v>0</v>
      </c>
    </row>
    <row r="111" spans="1:15" ht="14" thickTop="1" x14ac:dyDescent="0.3">
      <c r="A111" s="42" t="s">
        <v>1</v>
      </c>
      <c r="B111" s="139">
        <f>SUM(B107:B110)</f>
        <v>6061555852.5900002</v>
      </c>
      <c r="C111" s="97">
        <f t="shared" ref="C111:I111" si="12">SUM(C107:C110)</f>
        <v>1499812547.3399999</v>
      </c>
      <c r="D111" s="97">
        <f t="shared" si="12"/>
        <v>920529640.14999998</v>
      </c>
      <c r="E111" s="97">
        <f t="shared" si="12"/>
        <v>1224386020.27</v>
      </c>
      <c r="F111" s="97">
        <f t="shared" si="12"/>
        <v>1443972972.2</v>
      </c>
      <c r="G111" s="97">
        <f t="shared" si="12"/>
        <v>882985581.60000002</v>
      </c>
      <c r="H111" s="97">
        <f t="shared" si="12"/>
        <v>21620020.530000001</v>
      </c>
      <c r="I111" s="97">
        <f t="shared" si="12"/>
        <v>8412540.8100000005</v>
      </c>
      <c r="J111" s="97">
        <f t="shared" ref="J111:N111" si="13">SUM(J107:J110)</f>
        <v>0</v>
      </c>
      <c r="K111" s="97">
        <f t="shared" si="13"/>
        <v>2600613</v>
      </c>
      <c r="L111" s="97">
        <f t="shared" si="13"/>
        <v>6803248.4000000004</v>
      </c>
      <c r="M111" s="97">
        <f t="shared" si="13"/>
        <v>5973284</v>
      </c>
      <c r="N111" s="98">
        <f t="shared" si="13"/>
        <v>44459384.289999999</v>
      </c>
    </row>
    <row r="112" spans="1:15" x14ac:dyDescent="0.3">
      <c r="A112" s="26"/>
      <c r="B112" s="99"/>
      <c r="C112" s="99"/>
      <c r="D112" s="99"/>
      <c r="E112" s="99"/>
      <c r="F112" s="99"/>
      <c r="G112" s="99"/>
      <c r="H112" s="99"/>
      <c r="I112" s="99"/>
      <c r="J112" s="99"/>
      <c r="K112" s="99"/>
      <c r="L112" s="99"/>
      <c r="M112" s="99"/>
      <c r="N112" s="99"/>
    </row>
    <row r="114" spans="1:15" x14ac:dyDescent="0.3">
      <c r="A114" s="187" t="s">
        <v>229</v>
      </c>
      <c r="B114" s="187"/>
      <c r="C114" s="187"/>
      <c r="D114" s="187"/>
      <c r="E114" s="187"/>
      <c r="F114" s="187"/>
      <c r="G114" s="187"/>
      <c r="H114" s="187"/>
      <c r="I114" s="187"/>
      <c r="J114" s="164"/>
      <c r="K114" s="164"/>
      <c r="L114" s="164"/>
      <c r="M114" s="164"/>
      <c r="N114" s="16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row>
    <row r="116" spans="1:15" x14ac:dyDescent="0.3">
      <c r="A116" s="48"/>
      <c r="B116" s="11"/>
      <c r="C116" s="13"/>
      <c r="D116" s="13"/>
      <c r="E116" s="17"/>
      <c r="F116" s="13"/>
      <c r="G116" s="13"/>
      <c r="H116" s="13"/>
      <c r="I116" s="13"/>
      <c r="J116" s="13"/>
      <c r="K116" s="13"/>
      <c r="L116" s="13"/>
      <c r="M116" s="13"/>
      <c r="N116" s="13"/>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row>
    <row r="118" spans="1:15" x14ac:dyDescent="0.3">
      <c r="A118" s="42" t="s">
        <v>57</v>
      </c>
      <c r="B118" s="137">
        <f>SUM(C118:N118)</f>
        <v>6061555852.5900002</v>
      </c>
      <c r="C118" s="137">
        <v>1499812547.3399999</v>
      </c>
      <c r="D118" s="137">
        <v>920529640.14999998</v>
      </c>
      <c r="E118" s="137">
        <v>1224386020.27</v>
      </c>
      <c r="F118" s="137">
        <v>1443972972.2</v>
      </c>
      <c r="G118" s="137">
        <v>882985581.60000002</v>
      </c>
      <c r="H118" s="137">
        <v>21620020.530000001</v>
      </c>
      <c r="I118" s="50">
        <v>8412540.8100000005</v>
      </c>
      <c r="J118" s="50">
        <v>0</v>
      </c>
      <c r="K118" s="50">
        <v>2600613</v>
      </c>
      <c r="L118" s="50">
        <v>6803248.4000000004</v>
      </c>
      <c r="M118" s="50">
        <v>5973284</v>
      </c>
      <c r="N118" s="50">
        <v>44459384.289999999</v>
      </c>
      <c r="O118" s="70"/>
    </row>
    <row r="119" spans="1:15" x14ac:dyDescent="0.3">
      <c r="A119" s="42" t="s">
        <v>67</v>
      </c>
      <c r="B119" s="100"/>
      <c r="C119" s="90"/>
      <c r="D119" s="90"/>
      <c r="E119" s="90"/>
      <c r="F119" s="90"/>
      <c r="G119" s="90"/>
      <c r="H119" s="90"/>
      <c r="I119" s="91"/>
      <c r="J119" s="91"/>
      <c r="K119" s="91"/>
      <c r="L119" s="91"/>
      <c r="M119" s="91"/>
      <c r="N119" s="91"/>
      <c r="O119" s="70"/>
    </row>
    <row r="120" spans="1:15" x14ac:dyDescent="0.3">
      <c r="A120" s="42" t="s">
        <v>68</v>
      </c>
      <c r="B120" s="100"/>
      <c r="C120" s="90"/>
      <c r="D120" s="90"/>
      <c r="E120" s="90"/>
      <c r="F120" s="90"/>
      <c r="G120" s="90"/>
      <c r="H120" s="90"/>
      <c r="I120" s="91"/>
      <c r="J120" s="91"/>
      <c r="K120" s="91"/>
      <c r="L120" s="91"/>
      <c r="M120" s="91"/>
      <c r="N120" s="91"/>
      <c r="O120" s="70"/>
    </row>
    <row r="121" spans="1:15" ht="14" thickBot="1" x14ac:dyDescent="0.35">
      <c r="A121" s="43" t="s">
        <v>69</v>
      </c>
      <c r="B121" s="93"/>
      <c r="C121" s="94"/>
      <c r="D121" s="94"/>
      <c r="E121" s="94"/>
      <c r="F121" s="94"/>
      <c r="G121" s="94"/>
      <c r="H121" s="94"/>
      <c r="I121" s="95"/>
      <c r="J121" s="95"/>
      <c r="K121" s="95"/>
      <c r="L121" s="95"/>
      <c r="M121" s="95"/>
      <c r="N121" s="95"/>
      <c r="O121" s="70"/>
    </row>
    <row r="122" spans="1:15" ht="14" thickTop="1" x14ac:dyDescent="0.3">
      <c r="A122" s="42" t="s">
        <v>1</v>
      </c>
      <c r="B122" s="97">
        <f>SUM(B118:B121)</f>
        <v>6061555852.5900002</v>
      </c>
      <c r="C122" s="97">
        <f>SUM(C118:C121)</f>
        <v>1499812547.3399999</v>
      </c>
      <c r="D122" s="97">
        <f t="shared" ref="D122:I122" si="14">SUM(D118:D121)</f>
        <v>920529640.14999998</v>
      </c>
      <c r="E122" s="97">
        <f t="shared" si="14"/>
        <v>1224386020.27</v>
      </c>
      <c r="F122" s="97">
        <f t="shared" si="14"/>
        <v>1443972972.2</v>
      </c>
      <c r="G122" s="97">
        <f t="shared" si="14"/>
        <v>882985581.60000002</v>
      </c>
      <c r="H122" s="97">
        <f t="shared" si="14"/>
        <v>21620020.530000001</v>
      </c>
      <c r="I122" s="97">
        <f t="shared" si="14"/>
        <v>8412540.8100000005</v>
      </c>
      <c r="J122" s="97">
        <f t="shared" ref="J122:N122" si="15">SUM(J118:J121)</f>
        <v>0</v>
      </c>
      <c r="K122" s="97">
        <f t="shared" si="15"/>
        <v>2600613</v>
      </c>
      <c r="L122" s="97">
        <f t="shared" si="15"/>
        <v>6803248.4000000004</v>
      </c>
      <c r="M122" s="97">
        <f t="shared" si="15"/>
        <v>5973284</v>
      </c>
      <c r="N122" s="97">
        <f t="shared" si="15"/>
        <v>44459384.289999999</v>
      </c>
      <c r="O122" s="70"/>
    </row>
    <row r="123" spans="1:15" x14ac:dyDescent="0.3">
      <c r="A123" s="26"/>
      <c r="B123" s="99"/>
      <c r="C123" s="99"/>
      <c r="D123" s="99"/>
      <c r="E123" s="99"/>
      <c r="F123" s="99"/>
      <c r="G123" s="99"/>
      <c r="H123" s="99"/>
      <c r="I123" s="99"/>
      <c r="J123" s="99"/>
      <c r="K123" s="99"/>
      <c r="L123" s="99"/>
      <c r="M123" s="99"/>
      <c r="N123" s="99"/>
      <c r="O123" s="67"/>
    </row>
    <row r="125" spans="1:15" x14ac:dyDescent="0.3">
      <c r="A125" s="187" t="s">
        <v>230</v>
      </c>
      <c r="B125" s="187"/>
      <c r="C125" s="187"/>
      <c r="D125" s="187"/>
      <c r="E125" s="187"/>
      <c r="F125" s="187"/>
      <c r="G125" s="187"/>
      <c r="H125" s="187"/>
      <c r="I125" s="187"/>
    </row>
    <row r="126" spans="1:15" ht="40.5" x14ac:dyDescent="0.3">
      <c r="A126" s="109" t="s">
        <v>50</v>
      </c>
      <c r="B126" s="109" t="s">
        <v>51</v>
      </c>
      <c r="C126" s="149" t="s">
        <v>204</v>
      </c>
      <c r="D126" s="149" t="s">
        <v>59</v>
      </c>
      <c r="E126" s="149" t="s">
        <v>61</v>
      </c>
      <c r="F126" s="149" t="s">
        <v>53</v>
      </c>
      <c r="G126" s="150" t="s">
        <v>60</v>
      </c>
      <c r="H126" s="151" t="s">
        <v>54</v>
      </c>
      <c r="I126" s="150" t="s">
        <v>55</v>
      </c>
    </row>
    <row r="127" spans="1:15" x14ac:dyDescent="0.3">
      <c r="A127" s="41" t="s">
        <v>96</v>
      </c>
      <c r="B127" s="70" t="s">
        <v>3</v>
      </c>
      <c r="C127" s="91">
        <v>75000000</v>
      </c>
      <c r="D127" s="277" t="s">
        <v>104</v>
      </c>
      <c r="E127" s="277">
        <v>43173</v>
      </c>
      <c r="F127" s="101" t="s">
        <v>58</v>
      </c>
      <c r="G127" s="101" t="s">
        <v>109</v>
      </c>
      <c r="H127" s="277" t="s">
        <v>113</v>
      </c>
      <c r="I127" s="143">
        <v>5</v>
      </c>
    </row>
    <row r="128" spans="1:15" x14ac:dyDescent="0.3">
      <c r="A128" s="42" t="s">
        <v>99</v>
      </c>
      <c r="B128" s="70" t="s">
        <v>3</v>
      </c>
      <c r="C128" s="91">
        <v>126500000</v>
      </c>
      <c r="D128" s="277" t="s">
        <v>107</v>
      </c>
      <c r="E128" s="277">
        <v>42922</v>
      </c>
      <c r="F128" s="101" t="s">
        <v>56</v>
      </c>
      <c r="G128" s="101" t="s">
        <v>108</v>
      </c>
      <c r="H128" s="277" t="s">
        <v>116</v>
      </c>
      <c r="I128" s="143">
        <v>6</v>
      </c>
    </row>
    <row r="129" spans="1:9" x14ac:dyDescent="0.3">
      <c r="A129" s="42" t="s">
        <v>94</v>
      </c>
      <c r="B129" s="70" t="s">
        <v>3</v>
      </c>
      <c r="C129" s="91">
        <v>519000000</v>
      </c>
      <c r="D129" s="277" t="s">
        <v>102</v>
      </c>
      <c r="E129" s="277">
        <v>43357</v>
      </c>
      <c r="F129" s="101" t="s">
        <v>56</v>
      </c>
      <c r="G129" s="101" t="s">
        <v>108</v>
      </c>
      <c r="H129" s="277" t="s">
        <v>112</v>
      </c>
      <c r="I129" s="143">
        <v>7</v>
      </c>
    </row>
    <row r="130" spans="1:9" x14ac:dyDescent="0.3">
      <c r="A130" s="42" t="s">
        <v>164</v>
      </c>
      <c r="B130" s="70" t="s">
        <v>3</v>
      </c>
      <c r="C130" s="91">
        <v>1000000000</v>
      </c>
      <c r="D130" s="277">
        <f>E130-365</f>
        <v>43242</v>
      </c>
      <c r="E130" s="277">
        <v>43607</v>
      </c>
      <c r="F130" s="101" t="s">
        <v>56</v>
      </c>
      <c r="G130" s="101" t="s">
        <v>108</v>
      </c>
      <c r="H130" s="277">
        <v>41355</v>
      </c>
      <c r="I130" s="143">
        <v>9</v>
      </c>
    </row>
    <row r="131" spans="1:9" x14ac:dyDescent="0.3">
      <c r="A131" s="42" t="s">
        <v>200</v>
      </c>
      <c r="B131" s="308" t="s">
        <v>3</v>
      </c>
      <c r="C131" s="92">
        <v>650000000</v>
      </c>
      <c r="D131" s="309">
        <v>43438</v>
      </c>
      <c r="E131" s="309">
        <v>43803</v>
      </c>
      <c r="F131" s="143" t="s">
        <v>58</v>
      </c>
      <c r="G131" s="143" t="s">
        <v>109</v>
      </c>
      <c r="H131" s="309">
        <v>41521</v>
      </c>
      <c r="I131" s="143">
        <v>11</v>
      </c>
    </row>
    <row r="132" spans="1:9" x14ac:dyDescent="0.3">
      <c r="A132" s="42" t="s">
        <v>206</v>
      </c>
      <c r="B132" s="308" t="s">
        <v>3</v>
      </c>
      <c r="C132" s="91">
        <v>1855000000</v>
      </c>
      <c r="D132" s="277">
        <v>43640</v>
      </c>
      <c r="E132" s="277">
        <v>44006</v>
      </c>
      <c r="F132" s="101" t="s">
        <v>56</v>
      </c>
      <c r="G132" s="101" t="s">
        <v>108</v>
      </c>
      <c r="H132" s="309">
        <v>41663</v>
      </c>
      <c r="I132" s="143">
        <v>12</v>
      </c>
    </row>
    <row r="133" spans="1:9" ht="14" thickBot="1" x14ac:dyDescent="0.35">
      <c r="A133" s="43" t="s">
        <v>207</v>
      </c>
      <c r="B133" s="169" t="s">
        <v>3</v>
      </c>
      <c r="C133" s="95">
        <v>1400000000</v>
      </c>
      <c r="D133" s="275">
        <v>44315</v>
      </c>
      <c r="E133" s="275">
        <v>44680</v>
      </c>
      <c r="F133" s="172" t="s">
        <v>56</v>
      </c>
      <c r="G133" s="171" t="s">
        <v>108</v>
      </c>
      <c r="H133" s="278">
        <v>41521</v>
      </c>
      <c r="I133" s="172">
        <v>13</v>
      </c>
    </row>
    <row r="134" spans="1:9" ht="14" thickTop="1" x14ac:dyDescent="0.3">
      <c r="A134" s="26"/>
      <c r="B134" s="67"/>
      <c r="C134" s="104"/>
      <c r="D134" s="102"/>
      <c r="E134" s="102"/>
      <c r="F134" s="105"/>
      <c r="G134" s="67"/>
      <c r="H134" s="67"/>
      <c r="I134" s="102"/>
    </row>
    <row r="135" spans="1:9" s="67" customFormat="1" x14ac:dyDescent="0.3">
      <c r="A135" s="26"/>
      <c r="C135" s="104"/>
      <c r="D135" s="102"/>
      <c r="E135" s="102"/>
      <c r="F135" s="105"/>
      <c r="I135" s="102"/>
    </row>
    <row r="136" spans="1:9" s="67" customFormat="1" x14ac:dyDescent="0.3">
      <c r="A136" s="187" t="s">
        <v>231</v>
      </c>
      <c r="B136" s="187"/>
      <c r="C136" s="187"/>
      <c r="D136" s="187"/>
      <c r="E136" s="187"/>
      <c r="F136" s="187"/>
      <c r="I136" s="102"/>
    </row>
    <row r="137" spans="1:9" s="67" customFormat="1" x14ac:dyDescent="0.3">
      <c r="A137" s="136" t="s">
        <v>119</v>
      </c>
      <c r="B137" s="19" t="s">
        <v>50</v>
      </c>
      <c r="C137" s="19" t="s">
        <v>120</v>
      </c>
      <c r="D137" s="19" t="s">
        <v>51</v>
      </c>
      <c r="E137" s="63" t="s">
        <v>121</v>
      </c>
      <c r="F137" s="63" t="s">
        <v>166</v>
      </c>
      <c r="I137" s="102"/>
    </row>
    <row r="138" spans="1:9" s="67" customFormat="1" x14ac:dyDescent="0.3">
      <c r="A138" s="8" t="s">
        <v>123</v>
      </c>
      <c r="B138" s="125" t="s">
        <v>124</v>
      </c>
      <c r="C138" s="125" t="s">
        <v>125</v>
      </c>
      <c r="D138" s="125" t="s">
        <v>3</v>
      </c>
      <c r="E138" s="92">
        <v>212799000</v>
      </c>
      <c r="F138" s="196" t="s">
        <v>242</v>
      </c>
      <c r="I138" s="102"/>
    </row>
    <row r="139" spans="1:9" s="67" customFormat="1" x14ac:dyDescent="0.3">
      <c r="A139" s="7" t="s">
        <v>172</v>
      </c>
      <c r="B139" s="126" t="s">
        <v>178</v>
      </c>
      <c r="C139" s="126" t="s">
        <v>128</v>
      </c>
      <c r="D139" s="126" t="s">
        <v>3</v>
      </c>
      <c r="E139" s="92">
        <v>10000000</v>
      </c>
      <c r="F139" s="196" t="s">
        <v>129</v>
      </c>
      <c r="I139" s="102"/>
    </row>
    <row r="140" spans="1:9" s="67" customFormat="1" x14ac:dyDescent="0.3">
      <c r="A140" s="7" t="s">
        <v>211</v>
      </c>
      <c r="B140" s="126" t="s">
        <v>216</v>
      </c>
      <c r="C140" s="126" t="s">
        <v>128</v>
      </c>
      <c r="D140" s="126" t="s">
        <v>3</v>
      </c>
      <c r="E140" s="91">
        <v>124000000</v>
      </c>
      <c r="F140" s="196" t="s">
        <v>195</v>
      </c>
      <c r="I140" s="102"/>
    </row>
    <row r="141" spans="1:9" s="67" customFormat="1" x14ac:dyDescent="0.3">
      <c r="A141" s="7" t="s">
        <v>190</v>
      </c>
      <c r="B141" s="126" t="s">
        <v>194</v>
      </c>
      <c r="C141" s="126" t="s">
        <v>128</v>
      </c>
      <c r="D141" s="126" t="s">
        <v>3</v>
      </c>
      <c r="E141" s="92">
        <v>45000000</v>
      </c>
      <c r="F141" s="196" t="s">
        <v>129</v>
      </c>
      <c r="I141" s="102"/>
    </row>
    <row r="142" spans="1:9" s="67" customFormat="1" x14ac:dyDescent="0.3">
      <c r="A142" s="7" t="s">
        <v>175</v>
      </c>
      <c r="B142" s="126" t="s">
        <v>163</v>
      </c>
      <c r="C142" s="126" t="s">
        <v>128</v>
      </c>
      <c r="D142" s="126" t="s">
        <v>3</v>
      </c>
      <c r="E142" s="92">
        <v>25000000</v>
      </c>
      <c r="F142" s="196" t="s">
        <v>195</v>
      </c>
      <c r="I142" s="102"/>
    </row>
    <row r="143" spans="1:9" s="67" customFormat="1" x14ac:dyDescent="0.3">
      <c r="A143" s="7" t="s">
        <v>236</v>
      </c>
      <c r="B143" s="126" t="s">
        <v>239</v>
      </c>
      <c r="C143" s="126" t="s">
        <v>128</v>
      </c>
      <c r="D143" s="126" t="s">
        <v>3</v>
      </c>
      <c r="E143" s="92">
        <v>41000000</v>
      </c>
      <c r="F143" s="196" t="s">
        <v>195</v>
      </c>
      <c r="I143" s="102"/>
    </row>
    <row r="144" spans="1:9" s="67" customFormat="1" x14ac:dyDescent="0.3">
      <c r="A144" s="7" t="s">
        <v>237</v>
      </c>
      <c r="B144" s="126" t="s">
        <v>240</v>
      </c>
      <c r="C144" s="126" t="s">
        <v>128</v>
      </c>
      <c r="D144" s="126" t="s">
        <v>3</v>
      </c>
      <c r="E144" s="92">
        <v>10000000</v>
      </c>
      <c r="F144" s="196" t="s">
        <v>129</v>
      </c>
      <c r="I144" s="102"/>
    </row>
    <row r="145" spans="1:11" s="67" customFormat="1" x14ac:dyDescent="0.3">
      <c r="A145" s="7" t="s">
        <v>238</v>
      </c>
      <c r="B145" s="126" t="s">
        <v>241</v>
      </c>
      <c r="C145" s="126" t="s">
        <v>128</v>
      </c>
      <c r="D145" s="126" t="s">
        <v>3</v>
      </c>
      <c r="E145" s="92">
        <v>45000000</v>
      </c>
      <c r="F145" s="196" t="s">
        <v>129</v>
      </c>
      <c r="I145" s="102"/>
    </row>
    <row r="146" spans="1:11" s="67" customFormat="1" ht="14" thickBot="1" x14ac:dyDescent="0.35">
      <c r="A146" s="3" t="s">
        <v>246</v>
      </c>
      <c r="B146" s="165" t="s">
        <v>247</v>
      </c>
      <c r="C146" s="165" t="s">
        <v>248</v>
      </c>
      <c r="D146" s="128" t="s">
        <v>3</v>
      </c>
      <c r="E146" s="96">
        <v>10000000</v>
      </c>
      <c r="F146" s="243" t="s">
        <v>129</v>
      </c>
      <c r="I146" s="102"/>
    </row>
    <row r="147" spans="1:11" s="67" customFormat="1" ht="14" thickTop="1" x14ac:dyDescent="0.3">
      <c r="A147" s="5" t="s">
        <v>1</v>
      </c>
      <c r="B147" s="166"/>
      <c r="C147" s="166"/>
      <c r="D147" s="166"/>
      <c r="E147" s="103">
        <f>SUM(E138:E146)</f>
        <v>522799000</v>
      </c>
      <c r="F147" s="189"/>
      <c r="I147" s="102"/>
    </row>
    <row r="148" spans="1:11" s="67" customFormat="1" x14ac:dyDescent="0.3">
      <c r="A148" s="26"/>
      <c r="C148" s="104"/>
      <c r="D148" s="102"/>
      <c r="E148" s="102"/>
      <c r="F148" s="105"/>
      <c r="I148" s="102"/>
    </row>
    <row r="149" spans="1:11" s="67" customFormat="1" x14ac:dyDescent="0.3"/>
    <row r="150" spans="1:11" x14ac:dyDescent="0.3">
      <c r="A150" s="187" t="s">
        <v>232</v>
      </c>
      <c r="B150" s="187"/>
      <c r="C150" s="187"/>
      <c r="D150" s="187"/>
      <c r="E150" s="187"/>
      <c r="J150" s="67"/>
      <c r="K150" s="67"/>
    </row>
    <row r="171" spans="1:1" x14ac:dyDescent="0.3">
      <c r="A171"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171"/>
  <sheetViews>
    <sheetView topLeftCell="A138" workbookViewId="0">
      <selection activeCell="C107" sqref="C107:N108"/>
    </sheetView>
  </sheetViews>
  <sheetFormatPr baseColWidth="10" defaultColWidth="11.453125" defaultRowHeight="13.5" x14ac:dyDescent="0.3"/>
  <cols>
    <col min="1" max="1" width="54" style="53" customWidth="1"/>
    <col min="2" max="3" width="23" style="53" bestFit="1" customWidth="1"/>
    <col min="4" max="4" width="24.26953125" style="53" customWidth="1"/>
    <col min="5" max="5" width="25.1796875" style="53"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42369</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5211524326.500001</v>
      </c>
      <c r="C7" s="121"/>
      <c r="D7" s="174"/>
      <c r="E7" s="119"/>
      <c r="F7" s="120"/>
      <c r="G7" s="55"/>
      <c r="H7" s="55"/>
      <c r="I7" s="67"/>
      <c r="J7" s="67"/>
      <c r="K7" s="67"/>
      <c r="L7" s="67"/>
      <c r="M7" s="67"/>
    </row>
    <row r="8" spans="1:13" x14ac:dyDescent="0.3">
      <c r="A8" s="56" t="s">
        <v>78</v>
      </c>
      <c r="B8" s="335">
        <v>1093709.197586569</v>
      </c>
      <c r="C8" s="121"/>
      <c r="D8" s="175"/>
      <c r="E8" s="119"/>
      <c r="F8" s="120"/>
      <c r="G8" s="55"/>
      <c r="H8" s="55"/>
      <c r="I8" s="67"/>
      <c r="J8" s="67"/>
      <c r="K8" s="67"/>
      <c r="L8" s="67"/>
      <c r="M8" s="67"/>
    </row>
    <row r="9" spans="1:13" x14ac:dyDescent="0.3">
      <c r="A9" s="56" t="s">
        <v>73</v>
      </c>
      <c r="B9" s="335">
        <v>4765</v>
      </c>
      <c r="C9" s="121"/>
      <c r="D9" s="174"/>
      <c r="E9" s="119"/>
      <c r="F9" s="120"/>
      <c r="G9" s="55"/>
      <c r="H9" s="55"/>
      <c r="I9" s="67"/>
      <c r="J9" s="67"/>
      <c r="K9" s="67"/>
      <c r="L9" s="67"/>
      <c r="M9" s="67"/>
    </row>
    <row r="10" spans="1:13" ht="13.5" customHeight="1" x14ac:dyDescent="0.3">
      <c r="A10" s="56" t="s">
        <v>79</v>
      </c>
      <c r="B10" s="336">
        <v>9.2103570841885023E-3</v>
      </c>
      <c r="C10" s="121"/>
      <c r="D10" s="118"/>
      <c r="E10" s="119"/>
      <c r="F10" s="120"/>
      <c r="G10" s="55"/>
      <c r="H10" s="55"/>
      <c r="I10" s="67"/>
      <c r="J10" s="67"/>
      <c r="K10" s="67"/>
      <c r="L10" s="67"/>
      <c r="M10" s="67"/>
    </row>
    <row r="11" spans="1:13" x14ac:dyDescent="0.3">
      <c r="A11" s="56" t="s">
        <v>74</v>
      </c>
      <c r="B11" s="335">
        <v>42.921134804439042</v>
      </c>
      <c r="C11" s="121"/>
      <c r="D11" s="118"/>
      <c r="E11" s="119"/>
      <c r="F11" s="120"/>
      <c r="G11" s="55"/>
      <c r="H11" s="55"/>
      <c r="I11" s="67"/>
      <c r="J11" s="67"/>
      <c r="K11" s="67"/>
      <c r="L11" s="67"/>
      <c r="M11" s="67"/>
    </row>
    <row r="12" spans="1:13" x14ac:dyDescent="0.3">
      <c r="A12" s="56" t="s">
        <v>81</v>
      </c>
      <c r="B12" s="335">
        <v>165</v>
      </c>
      <c r="C12" s="121"/>
      <c r="D12" s="118"/>
      <c r="E12" s="119"/>
      <c r="F12" s="120"/>
      <c r="G12" s="55"/>
      <c r="H12" s="55"/>
      <c r="I12" s="67"/>
      <c r="J12" s="67"/>
      <c r="K12" s="67"/>
      <c r="L12" s="67"/>
      <c r="M12" s="67"/>
    </row>
    <row r="13" spans="1:13" x14ac:dyDescent="0.3">
      <c r="A13" s="56" t="s">
        <v>75</v>
      </c>
      <c r="B13" s="335">
        <v>4080</v>
      </c>
      <c r="C13" s="121"/>
      <c r="D13" s="118"/>
      <c r="E13" s="119"/>
      <c r="F13" s="120"/>
      <c r="G13" s="55"/>
      <c r="H13" s="55"/>
      <c r="I13" s="295"/>
      <c r="J13" s="295"/>
      <c r="K13" s="67"/>
      <c r="L13" s="67"/>
      <c r="M13" s="67"/>
    </row>
    <row r="14" spans="1:13" x14ac:dyDescent="0.3">
      <c r="A14" s="56" t="s">
        <v>196</v>
      </c>
      <c r="B14" s="336">
        <v>0.51092025656257178</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f>SUM(B85:B87)/B7</f>
        <v>5.3631141771472634E-4</v>
      </c>
      <c r="C17" s="121"/>
      <c r="D17" s="118"/>
      <c r="E17" s="119"/>
      <c r="F17" s="120"/>
      <c r="G17" s="55"/>
      <c r="H17" s="55"/>
      <c r="I17" s="295"/>
      <c r="J17" s="295"/>
      <c r="K17" s="67"/>
      <c r="L17" s="67"/>
      <c r="M17" s="67"/>
    </row>
    <row r="18" spans="1:13" x14ac:dyDescent="0.3">
      <c r="A18" s="56" t="s">
        <v>49</v>
      </c>
      <c r="B18" s="123">
        <f>E148</f>
        <v>312271000</v>
      </c>
      <c r="C18" s="121"/>
      <c r="D18" s="331"/>
      <c r="E18" s="332"/>
      <c r="F18" s="321"/>
      <c r="G18" s="306"/>
      <c r="H18" s="297"/>
      <c r="I18" s="297"/>
      <c r="J18" s="167"/>
      <c r="K18" s="67"/>
      <c r="L18" s="67"/>
      <c r="M18" s="67"/>
    </row>
    <row r="19" spans="1:13" x14ac:dyDescent="0.3">
      <c r="A19" s="57" t="s">
        <v>80</v>
      </c>
      <c r="B19" s="58">
        <v>5536810000</v>
      </c>
      <c r="C19" s="59"/>
      <c r="D19" s="311" t="s">
        <v>234</v>
      </c>
      <c r="E19" s="318" t="s">
        <v>235</v>
      </c>
      <c r="F19" s="321"/>
      <c r="G19" s="307"/>
      <c r="H19" s="297"/>
      <c r="I19" s="297"/>
      <c r="J19" s="167"/>
      <c r="K19" s="67"/>
      <c r="L19" s="67"/>
      <c r="M19" s="67"/>
    </row>
    <row r="20" spans="1:13" x14ac:dyDescent="0.3">
      <c r="A20" s="305" t="s">
        <v>197</v>
      </c>
      <c r="B20" s="310">
        <f>($B$19-D20)/E20-1</f>
        <v>0.15495682851635184</v>
      </c>
      <c r="C20" s="59"/>
      <c r="D20" s="312">
        <v>34300000</v>
      </c>
      <c r="E20" s="318">
        <v>4764256000</v>
      </c>
      <c r="F20" s="321"/>
      <c r="G20" s="307"/>
      <c r="H20" s="297"/>
      <c r="I20" s="297"/>
      <c r="J20" s="167"/>
      <c r="K20" s="67"/>
      <c r="L20" s="67"/>
      <c r="M20" s="67"/>
    </row>
    <row r="21" spans="1:13" x14ac:dyDescent="0.3">
      <c r="A21" s="305" t="s">
        <v>198</v>
      </c>
      <c r="B21" s="310">
        <f>($B$19-D21)/E20-1</f>
        <v>0.1152154347148191</v>
      </c>
      <c r="C21" s="59"/>
      <c r="D21" s="318">
        <v>223638173.86731499</v>
      </c>
      <c r="E21" s="318"/>
      <c r="F21" s="321"/>
      <c r="G21" s="307"/>
      <c r="H21" s="297"/>
      <c r="I21" s="297"/>
      <c r="J21" s="167"/>
      <c r="K21" s="67"/>
      <c r="L21" s="67"/>
      <c r="M21" s="67"/>
    </row>
    <row r="22" spans="1:13" x14ac:dyDescent="0.3">
      <c r="A22" s="305" t="s">
        <v>233</v>
      </c>
      <c r="B22" s="310">
        <f>($B$19-D22)/E20-1</f>
        <v>5.41825067045969E-2</v>
      </c>
      <c r="C22" s="59"/>
      <c r="D22" s="318">
        <v>514414667.33758414</v>
      </c>
      <c r="E22" s="318"/>
      <c r="F22" s="321"/>
      <c r="G22" s="307"/>
      <c r="H22" s="297"/>
      <c r="I22" s="297"/>
      <c r="J22" s="167"/>
      <c r="K22" s="67"/>
      <c r="L22" s="67"/>
      <c r="M22" s="67"/>
    </row>
    <row r="23" spans="1:13" s="54" customFormat="1" x14ac:dyDescent="0.3">
      <c r="A23" s="59"/>
      <c r="B23" s="60"/>
      <c r="C23" s="59"/>
      <c r="D23" s="325"/>
      <c r="E23" s="326"/>
      <c r="F23" s="321"/>
      <c r="G23" s="306"/>
      <c r="H23" s="297"/>
      <c r="I23" s="297"/>
      <c r="J23" s="167"/>
      <c r="K23" s="55"/>
      <c r="L23" s="55"/>
      <c r="M23" s="55"/>
    </row>
    <row r="24" spans="1:13" x14ac:dyDescent="0.3">
      <c r="D24" s="337"/>
      <c r="E24" s="337"/>
      <c r="F24" s="321"/>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1412504907.0500002</v>
      </c>
      <c r="C28" s="129">
        <v>2240</v>
      </c>
      <c r="D28" s="64">
        <f t="shared" ref="D28:D37" si="0">B28/$B$40</f>
        <v>0.27103488702289574</v>
      </c>
      <c r="E28" s="173"/>
      <c r="F28" s="186"/>
      <c r="G28" s="186"/>
      <c r="H28" s="297"/>
      <c r="I28" s="298"/>
      <c r="J28" s="167"/>
      <c r="K28" s="67"/>
      <c r="L28" s="67"/>
      <c r="M28" s="67"/>
    </row>
    <row r="29" spans="1:13" ht="14.5" x14ac:dyDescent="0.35">
      <c r="A29" s="6" t="s">
        <v>7</v>
      </c>
      <c r="B29" s="126">
        <v>809802002.8499999</v>
      </c>
      <c r="C29" s="129">
        <v>655</v>
      </c>
      <c r="D29" s="64">
        <f t="shared" si="0"/>
        <v>0.15538678361957367</v>
      </c>
      <c r="E29" s="173"/>
      <c r="F29" s="116"/>
      <c r="G29" s="116"/>
      <c r="H29" s="116"/>
      <c r="I29" s="116"/>
      <c r="J29" s="167"/>
      <c r="K29" s="67"/>
      <c r="L29" s="67"/>
      <c r="M29" s="67"/>
    </row>
    <row r="30" spans="1:13" ht="14.5" x14ac:dyDescent="0.35">
      <c r="A30" s="6" t="s">
        <v>8</v>
      </c>
      <c r="B30" s="126">
        <v>1057887811.9700001</v>
      </c>
      <c r="C30" s="129">
        <v>727</v>
      </c>
      <c r="D30" s="64">
        <f t="shared" si="0"/>
        <v>0.2029900938178035</v>
      </c>
      <c r="E30" s="173"/>
      <c r="F30" s="59"/>
      <c r="G30" s="59"/>
      <c r="H30" s="59"/>
      <c r="I30" s="59"/>
      <c r="J30" s="167"/>
      <c r="K30" s="67"/>
      <c r="L30" s="67"/>
      <c r="M30" s="67"/>
    </row>
    <row r="31" spans="1:13" ht="14.5" x14ac:dyDescent="0.35">
      <c r="A31" s="6" t="s">
        <v>9</v>
      </c>
      <c r="B31" s="126">
        <v>1228480016.7</v>
      </c>
      <c r="C31" s="129">
        <v>780</v>
      </c>
      <c r="D31" s="64">
        <f t="shared" si="0"/>
        <v>0.23572374217910119</v>
      </c>
      <c r="E31" s="173"/>
      <c r="F31" s="316"/>
      <c r="G31" s="317"/>
      <c r="H31" s="317"/>
      <c r="I31" s="176"/>
      <c r="J31" s="167"/>
      <c r="K31" s="67"/>
      <c r="L31" s="67"/>
      <c r="M31" s="67"/>
    </row>
    <row r="32" spans="1:13" ht="14.5" x14ac:dyDescent="0.35">
      <c r="A32" s="6" t="s">
        <v>140</v>
      </c>
      <c r="B32" s="126">
        <v>609122412.64999998</v>
      </c>
      <c r="C32" s="129">
        <v>322</v>
      </c>
      <c r="D32" s="64">
        <f t="shared" si="0"/>
        <v>0.11687989434351918</v>
      </c>
      <c r="E32" s="173"/>
      <c r="F32" s="304"/>
      <c r="G32" s="297"/>
      <c r="H32" s="297"/>
      <c r="I32" s="121"/>
      <c r="J32" s="167"/>
      <c r="K32" s="67"/>
      <c r="L32" s="67"/>
      <c r="M32" s="67"/>
    </row>
    <row r="33" spans="1:13" ht="14.5" x14ac:dyDescent="0.35">
      <c r="A33" s="6" t="s">
        <v>141</v>
      </c>
      <c r="B33" s="126">
        <v>29724740.119999997</v>
      </c>
      <c r="C33" s="129">
        <v>15</v>
      </c>
      <c r="D33" s="64">
        <f t="shared" si="0"/>
        <v>5.7036556404146711E-3</v>
      </c>
      <c r="E33" s="173"/>
      <c r="F33" s="304"/>
      <c r="G33" s="297"/>
      <c r="H33" s="297"/>
      <c r="I33" s="121"/>
      <c r="J33" s="303"/>
      <c r="K33" s="67"/>
      <c r="L33" s="67"/>
      <c r="M33" s="67"/>
    </row>
    <row r="34" spans="1:13" ht="14.5" x14ac:dyDescent="0.35">
      <c r="A34" s="6" t="s">
        <v>10</v>
      </c>
      <c r="B34" s="126">
        <v>8909831.5700000003</v>
      </c>
      <c r="C34" s="129">
        <v>3</v>
      </c>
      <c r="D34" s="64">
        <f t="shared" si="0"/>
        <v>1.7096402149932477E-3</v>
      </c>
      <c r="E34" s="173"/>
      <c r="F34" s="304"/>
      <c r="G34" s="297"/>
      <c r="H34" s="297"/>
      <c r="I34" s="121"/>
      <c r="J34" s="295"/>
      <c r="K34" s="67"/>
      <c r="L34" s="67"/>
      <c r="M34" s="67"/>
    </row>
    <row r="35" spans="1:13" ht="14.5" x14ac:dyDescent="0.35">
      <c r="A35" s="6" t="s">
        <v>11</v>
      </c>
      <c r="B35" s="134">
        <v>3295880.24</v>
      </c>
      <c r="C35" s="135">
        <v>1</v>
      </c>
      <c r="D35" s="64">
        <f t="shared" si="0"/>
        <v>6.32421539940019E-4</v>
      </c>
      <c r="E35" s="173"/>
      <c r="F35" s="304"/>
      <c r="G35" s="297"/>
      <c r="H35" s="297"/>
      <c r="I35" s="121"/>
      <c r="J35" s="67"/>
      <c r="K35" s="67"/>
      <c r="L35" s="67"/>
      <c r="M35" s="67"/>
    </row>
    <row r="36" spans="1:13" ht="14.5" x14ac:dyDescent="0.35">
      <c r="A36" s="6" t="s">
        <v>12</v>
      </c>
      <c r="B36" s="130">
        <v>0</v>
      </c>
      <c r="C36" s="131">
        <v>0</v>
      </c>
      <c r="D36" s="64">
        <f t="shared" si="0"/>
        <v>0</v>
      </c>
      <c r="E36" s="173"/>
      <c r="F36" s="304"/>
      <c r="G36" s="297"/>
      <c r="H36" s="297"/>
      <c r="I36" s="121"/>
      <c r="J36" s="67"/>
      <c r="K36" s="67"/>
      <c r="L36" s="67"/>
      <c r="M36" s="67"/>
    </row>
    <row r="37" spans="1:13" ht="14.5" x14ac:dyDescent="0.35">
      <c r="A37" s="6" t="s">
        <v>13</v>
      </c>
      <c r="B37" s="130">
        <v>3985393</v>
      </c>
      <c r="C37" s="131">
        <v>1</v>
      </c>
      <c r="D37" s="64">
        <f t="shared" si="0"/>
        <v>7.6472693022552657E-4</v>
      </c>
      <c r="E37" s="173"/>
      <c r="F37" s="304"/>
      <c r="G37" s="297"/>
      <c r="H37" s="297"/>
      <c r="I37" s="121"/>
      <c r="J37" s="67"/>
      <c r="K37" s="67"/>
      <c r="L37" s="67"/>
      <c r="M37" s="67"/>
    </row>
    <row r="38" spans="1:13" ht="14.5" x14ac:dyDescent="0.35">
      <c r="A38" s="6" t="s">
        <v>14</v>
      </c>
      <c r="B38" s="130">
        <v>6839948.6400000006</v>
      </c>
      <c r="C38" s="131">
        <v>3</v>
      </c>
      <c r="D38" s="64">
        <f>B38/$B$40</f>
        <v>1.312466029414782E-3</v>
      </c>
      <c r="E38" s="173"/>
      <c r="F38" s="304"/>
      <c r="G38" s="297"/>
      <c r="H38" s="297"/>
      <c r="I38" s="121"/>
      <c r="J38" s="67"/>
      <c r="K38" s="67"/>
      <c r="L38" s="67"/>
      <c r="M38" s="67"/>
    </row>
    <row r="39" spans="1:13" ht="15" thickBot="1" x14ac:dyDescent="0.4">
      <c r="A39" s="4" t="s">
        <v>15</v>
      </c>
      <c r="B39" s="132">
        <v>40971381.710000001</v>
      </c>
      <c r="C39" s="287">
        <v>18</v>
      </c>
      <c r="D39" s="65">
        <f>B39/$B$40</f>
        <v>7.8616886621185374E-3</v>
      </c>
      <c r="E39" s="173"/>
      <c r="F39" s="304"/>
      <c r="G39" s="298"/>
      <c r="H39" s="298"/>
      <c r="I39" s="121"/>
      <c r="J39" s="67"/>
      <c r="K39" s="67"/>
      <c r="L39" s="67"/>
      <c r="M39" s="67"/>
    </row>
    <row r="40" spans="1:13" ht="15" thickTop="1" x14ac:dyDescent="0.35">
      <c r="A40" s="1" t="s">
        <v>1</v>
      </c>
      <c r="B40" s="18">
        <f>SUM(B28:B39)</f>
        <v>5211524326.5</v>
      </c>
      <c r="C40" s="133">
        <f>SUM(C28:C39)</f>
        <v>4765</v>
      </c>
      <c r="D40" s="300">
        <f>SUM(D28:D39)</f>
        <v>1</v>
      </c>
      <c r="E40" s="173"/>
      <c r="F40" s="304"/>
      <c r="G40" s="299"/>
      <c r="H40" s="299"/>
      <c r="I40" s="121"/>
    </row>
    <row r="41" spans="1:13" x14ac:dyDescent="0.3">
      <c r="F41" s="304"/>
      <c r="G41" s="299"/>
      <c r="H41" s="299"/>
      <c r="I41" s="121"/>
    </row>
    <row r="42" spans="1:13" x14ac:dyDescent="0.3">
      <c r="F42" s="304"/>
      <c r="G42" s="299"/>
      <c r="H42" s="299"/>
      <c r="I42" s="121"/>
    </row>
    <row r="43" spans="1:13" x14ac:dyDescent="0.3">
      <c r="A43" s="163" t="s">
        <v>218</v>
      </c>
      <c r="B43" s="164"/>
      <c r="C43" s="163"/>
      <c r="D43" s="164"/>
      <c r="F43" s="304"/>
      <c r="G43" s="299"/>
      <c r="H43" s="299"/>
      <c r="I43" s="121"/>
    </row>
    <row r="44" spans="1:13" x14ac:dyDescent="0.3">
      <c r="A44" s="106"/>
      <c r="B44" s="106"/>
      <c r="C44" s="106"/>
      <c r="D44" s="106"/>
      <c r="F44" s="304"/>
      <c r="G44" s="301"/>
      <c r="H44" s="302"/>
      <c r="I44" s="303"/>
    </row>
    <row r="45" spans="1:13" x14ac:dyDescent="0.3">
      <c r="A45" s="9" t="s">
        <v>219</v>
      </c>
      <c r="B45" s="10" t="s">
        <v>4</v>
      </c>
      <c r="C45" s="10" t="s">
        <v>5</v>
      </c>
      <c r="D45" s="63" t="s">
        <v>17</v>
      </c>
    </row>
    <row r="46" spans="1:13" x14ac:dyDescent="0.3">
      <c r="A46" s="6" t="s">
        <v>220</v>
      </c>
      <c r="B46" s="126">
        <v>202231537.49000007</v>
      </c>
      <c r="C46" s="129">
        <v>1530</v>
      </c>
      <c r="D46" s="64">
        <f>B46/$B$40</f>
        <v>3.8804680707653236E-2</v>
      </c>
      <c r="E46" s="279"/>
    </row>
    <row r="47" spans="1:13" x14ac:dyDescent="0.3">
      <c r="A47" s="6" t="s">
        <v>221</v>
      </c>
      <c r="B47" s="126">
        <v>697135703.78999901</v>
      </c>
      <c r="C47" s="129">
        <v>925</v>
      </c>
      <c r="D47" s="64">
        <f t="shared" ref="D47:D49" si="1">B47/$B$40</f>
        <v>0.13376809933422826</v>
      </c>
      <c r="E47" s="279"/>
    </row>
    <row r="48" spans="1:13" x14ac:dyDescent="0.3">
      <c r="A48" s="6" t="s">
        <v>222</v>
      </c>
      <c r="B48" s="126">
        <v>2231968583.4499993</v>
      </c>
      <c r="C48" s="129">
        <v>1550</v>
      </c>
      <c r="D48" s="64">
        <f t="shared" si="1"/>
        <v>0.42827557613051837</v>
      </c>
      <c r="E48" s="279"/>
    </row>
    <row r="49" spans="1:14" x14ac:dyDescent="0.3">
      <c r="A49" s="6" t="s">
        <v>223</v>
      </c>
      <c r="B49" s="126">
        <v>1330633222.5900002</v>
      </c>
      <c r="C49" s="129">
        <v>556</v>
      </c>
      <c r="D49" s="64">
        <f t="shared" si="1"/>
        <v>0.25532514850288307</v>
      </c>
      <c r="E49" s="279"/>
    </row>
    <row r="50" spans="1:14" ht="14" thickBot="1" x14ac:dyDescent="0.35">
      <c r="A50" s="4" t="s">
        <v>224</v>
      </c>
      <c r="B50" s="132">
        <v>749555279.17999995</v>
      </c>
      <c r="C50" s="287">
        <v>204</v>
      </c>
      <c r="D50" s="65">
        <f>B50/$B$40</f>
        <v>0.14382649532471678</v>
      </c>
      <c r="E50" s="279"/>
    </row>
    <row r="51" spans="1:14" ht="14" thickTop="1" x14ac:dyDescent="0.3">
      <c r="A51" s="1" t="s">
        <v>1</v>
      </c>
      <c r="B51" s="18">
        <f>SUM(B46:B50)</f>
        <v>5211524326.499999</v>
      </c>
      <c r="C51" s="133">
        <f>SUM(C46:C50)</f>
        <v>4765</v>
      </c>
      <c r="D51" s="300">
        <f>SUM(D46:D50)</f>
        <v>0.99999999999999978</v>
      </c>
    </row>
    <row r="54" spans="1:14" x14ac:dyDescent="0.3">
      <c r="A54" s="164" t="s">
        <v>225</v>
      </c>
      <c r="B54" s="164"/>
      <c r="C54" s="164"/>
      <c r="D54" s="293"/>
      <c r="E54" s="293"/>
      <c r="F54" s="293"/>
      <c r="G54" s="293"/>
      <c r="H54" s="293"/>
      <c r="I54" s="293"/>
      <c r="J54" s="293"/>
      <c r="K54" s="164"/>
      <c r="L54" s="164"/>
      <c r="M54" s="164"/>
      <c r="N54" s="164"/>
    </row>
    <row r="55" spans="1:14" s="68" customFormat="1" x14ac:dyDescent="0.3">
      <c r="A55" s="107"/>
      <c r="B55" s="155" t="s">
        <v>1</v>
      </c>
      <c r="C55" s="281" t="s">
        <v>18</v>
      </c>
      <c r="D55" s="281" t="s">
        <v>19</v>
      </c>
      <c r="E55" s="281" t="s">
        <v>20</v>
      </c>
      <c r="F55" s="281" t="s">
        <v>21</v>
      </c>
      <c r="G55" s="281" t="s">
        <v>138</v>
      </c>
      <c r="H55" s="281" t="s">
        <v>139</v>
      </c>
      <c r="I55" s="281" t="s">
        <v>22</v>
      </c>
      <c r="J55" s="281" t="s">
        <v>23</v>
      </c>
      <c r="K55" s="313" t="s">
        <v>24</v>
      </c>
      <c r="L55" s="281" t="s">
        <v>25</v>
      </c>
      <c r="M55" s="313" t="s">
        <v>26</v>
      </c>
      <c r="N55" s="281" t="s">
        <v>27</v>
      </c>
    </row>
    <row r="56" spans="1:14" ht="14.5" x14ac:dyDescent="0.35">
      <c r="A56" s="153" t="s">
        <v>28</v>
      </c>
      <c r="B56" s="288">
        <f t="shared" ref="B56:B75" si="2">SUM(C56:N56)</f>
        <v>177890546.21000001</v>
      </c>
      <c r="C56" s="333">
        <v>51954045.199999996</v>
      </c>
      <c r="D56" s="333">
        <v>44391276.950000003</v>
      </c>
      <c r="E56" s="333">
        <v>22162290</v>
      </c>
      <c r="F56" s="333">
        <v>39660484.060000002</v>
      </c>
      <c r="G56" s="333">
        <v>19722450</v>
      </c>
      <c r="H56" s="333">
        <v>0</v>
      </c>
      <c r="I56" s="333">
        <v>0</v>
      </c>
      <c r="J56" s="333">
        <v>0</v>
      </c>
      <c r="K56" s="333">
        <v>0</v>
      </c>
      <c r="L56" s="333">
        <v>0</v>
      </c>
      <c r="M56" s="333">
        <v>0</v>
      </c>
      <c r="N56" s="333">
        <v>0</v>
      </c>
    </row>
    <row r="57" spans="1:14" ht="14.5" x14ac:dyDescent="0.35">
      <c r="A57" s="154" t="s">
        <v>29</v>
      </c>
      <c r="B57" s="282">
        <f>SUM(C57:N57)</f>
        <v>180331574.92000002</v>
      </c>
      <c r="C57" s="333">
        <v>41011763.380000003</v>
      </c>
      <c r="D57" s="333">
        <v>26541284.849999998</v>
      </c>
      <c r="E57" s="333">
        <v>45877907.869999997</v>
      </c>
      <c r="F57" s="333">
        <v>43580756.580000006</v>
      </c>
      <c r="G57" s="333">
        <v>12200729.68</v>
      </c>
      <c r="H57" s="333">
        <v>5552488.75</v>
      </c>
      <c r="I57" s="333">
        <v>2270763.5699999998</v>
      </c>
      <c r="J57" s="333">
        <v>3295880.24</v>
      </c>
      <c r="K57" s="333">
        <v>0</v>
      </c>
      <c r="L57" s="333">
        <v>0</v>
      </c>
      <c r="M57" s="333">
        <v>0</v>
      </c>
      <c r="N57" s="333">
        <v>0</v>
      </c>
    </row>
    <row r="58" spans="1:14" ht="14.5" x14ac:dyDescent="0.35">
      <c r="A58" s="154" t="s">
        <v>30</v>
      </c>
      <c r="B58" s="282">
        <f t="shared" si="2"/>
        <v>31107264.18</v>
      </c>
      <c r="C58" s="333">
        <v>4487210</v>
      </c>
      <c r="D58" s="333">
        <v>5699240.9000000004</v>
      </c>
      <c r="E58" s="333">
        <v>9952463.2799999993</v>
      </c>
      <c r="F58" s="333">
        <v>5506328</v>
      </c>
      <c r="G58" s="333">
        <v>5462022</v>
      </c>
      <c r="H58" s="333">
        <v>0</v>
      </c>
      <c r="I58" s="333">
        <v>0</v>
      </c>
      <c r="J58" s="333">
        <v>0</v>
      </c>
      <c r="K58" s="333">
        <v>0</v>
      </c>
      <c r="L58" s="333">
        <v>0</v>
      </c>
      <c r="M58" s="333">
        <v>0</v>
      </c>
      <c r="N58" s="333">
        <v>0</v>
      </c>
    </row>
    <row r="59" spans="1:14" ht="14.5" x14ac:dyDescent="0.35">
      <c r="A59" s="154" t="s">
        <v>142</v>
      </c>
      <c r="B59" s="282">
        <f t="shared" si="2"/>
        <v>1660398</v>
      </c>
      <c r="C59" s="333">
        <v>0</v>
      </c>
      <c r="D59" s="333">
        <v>0</v>
      </c>
      <c r="E59" s="333">
        <v>0</v>
      </c>
      <c r="F59" s="333">
        <v>1660398</v>
      </c>
      <c r="G59" s="333">
        <v>0</v>
      </c>
      <c r="H59" s="333">
        <v>0</v>
      </c>
      <c r="I59" s="333">
        <v>0</v>
      </c>
      <c r="J59" s="333">
        <v>0</v>
      </c>
      <c r="K59" s="333">
        <v>0</v>
      </c>
      <c r="L59" s="333">
        <v>0</v>
      </c>
      <c r="M59" s="333">
        <v>0</v>
      </c>
      <c r="N59" s="333">
        <v>0</v>
      </c>
    </row>
    <row r="60" spans="1:14" ht="14.5" x14ac:dyDescent="0.35">
      <c r="A60" s="154" t="s">
        <v>31</v>
      </c>
      <c r="B60" s="282">
        <f t="shared" si="2"/>
        <v>7921576.8399999999</v>
      </c>
      <c r="C60" s="333">
        <v>0</v>
      </c>
      <c r="D60" s="333">
        <v>0</v>
      </c>
      <c r="E60" s="333">
        <v>3665307.84</v>
      </c>
      <c r="F60" s="333">
        <v>1183474</v>
      </c>
      <c r="G60" s="333">
        <v>3072795</v>
      </c>
      <c r="H60" s="333">
        <v>0</v>
      </c>
      <c r="I60" s="333">
        <v>0</v>
      </c>
      <c r="J60" s="333">
        <v>0</v>
      </c>
      <c r="K60" s="333">
        <v>0</v>
      </c>
      <c r="L60" s="333">
        <v>0</v>
      </c>
      <c r="M60" s="333">
        <v>0</v>
      </c>
      <c r="N60" s="333">
        <v>0</v>
      </c>
    </row>
    <row r="61" spans="1:14" ht="14.5" x14ac:dyDescent="0.35">
      <c r="A61" s="154" t="s">
        <v>32</v>
      </c>
      <c r="B61" s="282">
        <f t="shared" si="2"/>
        <v>515313106.00999987</v>
      </c>
      <c r="C61" s="333">
        <v>136092788.50999999</v>
      </c>
      <c r="D61" s="333">
        <v>52390040.199999996</v>
      </c>
      <c r="E61" s="333">
        <v>125116925.34</v>
      </c>
      <c r="F61" s="333">
        <v>141847308.78</v>
      </c>
      <c r="G61" s="333">
        <v>42775795.210000001</v>
      </c>
      <c r="H61" s="333">
        <v>3621096.07</v>
      </c>
      <c r="I61" s="333">
        <v>0</v>
      </c>
      <c r="J61" s="333">
        <v>0</v>
      </c>
      <c r="K61" s="333">
        <v>0</v>
      </c>
      <c r="L61" s="333">
        <v>0</v>
      </c>
      <c r="M61" s="333">
        <v>5249373.6399999997</v>
      </c>
      <c r="N61" s="333">
        <v>8219778.2599999998</v>
      </c>
    </row>
    <row r="62" spans="1:14" ht="14.5" x14ac:dyDescent="0.35">
      <c r="A62" s="154" t="s">
        <v>143</v>
      </c>
      <c r="B62" s="282">
        <f t="shared" si="2"/>
        <v>8238148</v>
      </c>
      <c r="C62" s="333">
        <v>2869296</v>
      </c>
      <c r="D62" s="333">
        <v>1156364</v>
      </c>
      <c r="E62" s="333">
        <v>4212488</v>
      </c>
      <c r="F62" s="333">
        <v>0</v>
      </c>
      <c r="G62" s="333">
        <v>0</v>
      </c>
      <c r="H62" s="333">
        <v>0</v>
      </c>
      <c r="I62" s="333">
        <v>0</v>
      </c>
      <c r="J62" s="333">
        <v>0</v>
      </c>
      <c r="K62" s="333">
        <v>0</v>
      </c>
      <c r="L62" s="333">
        <v>0</v>
      </c>
      <c r="M62" s="333">
        <v>0</v>
      </c>
      <c r="N62" s="333">
        <v>0</v>
      </c>
    </row>
    <row r="63" spans="1:14" ht="14.5" x14ac:dyDescent="0.35">
      <c r="A63" s="154" t="s">
        <v>33</v>
      </c>
      <c r="B63" s="282">
        <f t="shared" si="2"/>
        <v>2623024.62</v>
      </c>
      <c r="C63" s="333">
        <v>983024.62</v>
      </c>
      <c r="D63" s="333">
        <v>0</v>
      </c>
      <c r="E63" s="333">
        <v>0</v>
      </c>
      <c r="F63" s="333">
        <v>0</v>
      </c>
      <c r="G63" s="333">
        <v>1640000</v>
      </c>
      <c r="H63" s="333">
        <v>0</v>
      </c>
      <c r="I63" s="333">
        <v>0</v>
      </c>
      <c r="J63" s="333">
        <v>0</v>
      </c>
      <c r="K63" s="333">
        <v>0</v>
      </c>
      <c r="L63" s="333">
        <v>0</v>
      </c>
      <c r="M63" s="333">
        <v>0</v>
      </c>
      <c r="N63" s="333">
        <v>0</v>
      </c>
    </row>
    <row r="64" spans="1:14" ht="14.5" x14ac:dyDescent="0.35">
      <c r="A64" s="154" t="s">
        <v>205</v>
      </c>
      <c r="B64" s="282">
        <f t="shared" si="2"/>
        <v>709075</v>
      </c>
      <c r="C64" s="333">
        <v>709075</v>
      </c>
      <c r="D64" s="333">
        <v>0</v>
      </c>
      <c r="E64" s="333">
        <v>0</v>
      </c>
      <c r="F64" s="333">
        <v>0</v>
      </c>
      <c r="G64" s="333">
        <v>0</v>
      </c>
      <c r="H64" s="333">
        <v>0</v>
      </c>
      <c r="I64" s="333">
        <v>0</v>
      </c>
      <c r="J64" s="333">
        <v>0</v>
      </c>
      <c r="K64" s="333">
        <v>0</v>
      </c>
      <c r="L64" s="333">
        <v>0</v>
      </c>
      <c r="M64" s="333">
        <v>0</v>
      </c>
      <c r="N64" s="333">
        <v>0</v>
      </c>
    </row>
    <row r="65" spans="1:14" ht="14.5" x14ac:dyDescent="0.35">
      <c r="A65" s="154" t="s">
        <v>34</v>
      </c>
      <c r="B65" s="282">
        <f t="shared" si="2"/>
        <v>11279635.609999999</v>
      </c>
      <c r="C65" s="333">
        <v>2132903.0099999998</v>
      </c>
      <c r="D65" s="333">
        <v>0</v>
      </c>
      <c r="E65" s="333">
        <v>1754001</v>
      </c>
      <c r="F65" s="333">
        <v>7392731.5999999996</v>
      </c>
      <c r="G65" s="333">
        <v>0</v>
      </c>
      <c r="H65" s="333">
        <v>0</v>
      </c>
      <c r="I65" s="333">
        <v>0</v>
      </c>
      <c r="J65" s="333">
        <v>0</v>
      </c>
      <c r="K65" s="333">
        <v>0</v>
      </c>
      <c r="L65" s="333">
        <v>0</v>
      </c>
      <c r="M65" s="333">
        <v>0</v>
      </c>
      <c r="N65" s="333">
        <v>0</v>
      </c>
    </row>
    <row r="66" spans="1:14" ht="14.5" x14ac:dyDescent="0.35">
      <c r="A66" s="154" t="s">
        <v>35</v>
      </c>
      <c r="B66" s="282">
        <f t="shared" si="2"/>
        <v>157047812.16</v>
      </c>
      <c r="C66" s="333">
        <v>45587641.839999996</v>
      </c>
      <c r="D66" s="333">
        <v>30749044.920000002</v>
      </c>
      <c r="E66" s="333">
        <v>30266831.399999999</v>
      </c>
      <c r="F66" s="333">
        <v>35484127</v>
      </c>
      <c r="G66" s="333">
        <v>11987169</v>
      </c>
      <c r="H66" s="333">
        <v>0</v>
      </c>
      <c r="I66" s="333">
        <v>0</v>
      </c>
      <c r="J66" s="333">
        <v>0</v>
      </c>
      <c r="K66" s="333">
        <v>0</v>
      </c>
      <c r="L66" s="333">
        <v>0</v>
      </c>
      <c r="M66" s="333">
        <v>0</v>
      </c>
      <c r="N66" s="333">
        <v>2972998</v>
      </c>
    </row>
    <row r="67" spans="1:14" ht="14.5" x14ac:dyDescent="0.35">
      <c r="A67" s="154" t="s">
        <v>36</v>
      </c>
      <c r="B67" s="282"/>
      <c r="C67" s="333">
        <v>673545791.63999963</v>
      </c>
      <c r="D67" s="333">
        <v>379776763.95000005</v>
      </c>
      <c r="E67" s="333">
        <v>510883108.34000003</v>
      </c>
      <c r="F67" s="333">
        <v>582756811.63</v>
      </c>
      <c r="G67" s="333">
        <v>354290191.52000004</v>
      </c>
      <c r="H67" s="333">
        <v>15364758.300000001</v>
      </c>
      <c r="I67" s="333">
        <v>4302943</v>
      </c>
      <c r="J67" s="333">
        <v>0</v>
      </c>
      <c r="K67" s="333">
        <v>0</v>
      </c>
      <c r="L67" s="333">
        <v>3985393</v>
      </c>
      <c r="M67" s="333">
        <v>1590575</v>
      </c>
      <c r="N67" s="333">
        <v>22881726.579999998</v>
      </c>
    </row>
    <row r="68" spans="1:14" ht="14.5" x14ac:dyDescent="0.35">
      <c r="A68" s="154" t="s">
        <v>37</v>
      </c>
      <c r="B68" s="282">
        <f t="shared" si="2"/>
        <v>196296055.66000003</v>
      </c>
      <c r="C68" s="333">
        <v>55446865.090000011</v>
      </c>
      <c r="D68" s="333">
        <v>42754982.810000002</v>
      </c>
      <c r="E68" s="333">
        <v>50716273.490000002</v>
      </c>
      <c r="F68" s="333">
        <v>38197699.269999996</v>
      </c>
      <c r="G68" s="333">
        <v>9180235</v>
      </c>
      <c r="H68" s="333">
        <v>0</v>
      </c>
      <c r="I68" s="333">
        <v>0</v>
      </c>
      <c r="J68" s="333">
        <v>0</v>
      </c>
      <c r="K68" s="333">
        <v>0</v>
      </c>
      <c r="L68" s="333">
        <v>0</v>
      </c>
      <c r="M68" s="333">
        <v>0</v>
      </c>
      <c r="N68" s="333">
        <v>0</v>
      </c>
    </row>
    <row r="69" spans="1:14" ht="14.5" x14ac:dyDescent="0.35">
      <c r="A69" s="154" t="s">
        <v>144</v>
      </c>
      <c r="B69" s="282">
        <f t="shared" si="2"/>
        <v>10529425.199999999</v>
      </c>
      <c r="C69" s="333">
        <v>0</v>
      </c>
      <c r="D69" s="333">
        <v>2557154</v>
      </c>
      <c r="E69" s="333">
        <v>2987007.2</v>
      </c>
      <c r="F69" s="333">
        <v>4985264</v>
      </c>
      <c r="G69" s="333">
        <v>0</v>
      </c>
      <c r="H69" s="333">
        <v>0</v>
      </c>
      <c r="I69" s="333">
        <v>0</v>
      </c>
      <c r="J69" s="333">
        <v>0</v>
      </c>
      <c r="K69" s="333">
        <v>0</v>
      </c>
      <c r="L69" s="333">
        <v>0</v>
      </c>
      <c r="M69" s="333">
        <v>0</v>
      </c>
      <c r="N69" s="333">
        <v>0</v>
      </c>
    </row>
    <row r="70" spans="1:14" ht="14.5" x14ac:dyDescent="0.35">
      <c r="A70" s="154" t="s">
        <v>38</v>
      </c>
      <c r="B70" s="282">
        <f t="shared" si="2"/>
        <v>17570009.93</v>
      </c>
      <c r="C70" s="333">
        <v>10845951.609999999</v>
      </c>
      <c r="D70" s="333">
        <v>681393.91</v>
      </c>
      <c r="E70" s="333">
        <v>0</v>
      </c>
      <c r="F70" s="333">
        <v>2724596.54</v>
      </c>
      <c r="G70" s="333">
        <v>0</v>
      </c>
      <c r="H70" s="333">
        <v>0</v>
      </c>
      <c r="I70" s="333">
        <v>0</v>
      </c>
      <c r="J70" s="333">
        <v>0</v>
      </c>
      <c r="K70" s="333">
        <v>0</v>
      </c>
      <c r="L70" s="333">
        <v>0</v>
      </c>
      <c r="M70" s="333">
        <v>0</v>
      </c>
      <c r="N70" s="333">
        <v>3318067.87</v>
      </c>
    </row>
    <row r="71" spans="1:14" ht="14.5" x14ac:dyDescent="0.35">
      <c r="A71" s="154" t="s">
        <v>39</v>
      </c>
      <c r="B71" s="282">
        <f t="shared" si="2"/>
        <v>5146863.6500000004</v>
      </c>
      <c r="C71" s="333">
        <v>1595517.65</v>
      </c>
      <c r="D71" s="333">
        <v>0</v>
      </c>
      <c r="E71" s="333">
        <v>3551346</v>
      </c>
      <c r="F71" s="333">
        <v>0</v>
      </c>
      <c r="G71" s="333">
        <v>0</v>
      </c>
      <c r="H71" s="333">
        <v>0</v>
      </c>
      <c r="I71" s="333">
        <v>0</v>
      </c>
      <c r="J71" s="333">
        <v>0</v>
      </c>
      <c r="K71" s="333">
        <v>0</v>
      </c>
      <c r="L71" s="333">
        <v>0</v>
      </c>
      <c r="M71" s="333">
        <v>0</v>
      </c>
      <c r="N71" s="333">
        <v>0</v>
      </c>
    </row>
    <row r="72" spans="1:14" ht="14.5" x14ac:dyDescent="0.35">
      <c r="A72" s="154" t="s">
        <v>40</v>
      </c>
      <c r="B72" s="282">
        <f t="shared" si="2"/>
        <v>1295477982.8799999</v>
      </c>
      <c r="C72" s="333">
        <v>371984805.29999995</v>
      </c>
      <c r="D72" s="333">
        <v>218520225.89000002</v>
      </c>
      <c r="E72" s="333">
        <v>233625338.21000001</v>
      </c>
      <c r="F72" s="333">
        <v>318680519.24000001</v>
      </c>
      <c r="G72" s="333">
        <v>141565761.23999998</v>
      </c>
      <c r="H72" s="333">
        <v>5186397</v>
      </c>
      <c r="I72" s="333">
        <v>2336125</v>
      </c>
      <c r="J72" s="333">
        <v>0</v>
      </c>
      <c r="K72" s="333">
        <v>0</v>
      </c>
      <c r="L72" s="333">
        <v>0</v>
      </c>
      <c r="M72" s="333">
        <v>0</v>
      </c>
      <c r="N72" s="333">
        <v>3578811</v>
      </c>
    </row>
    <row r="73" spans="1:14" ht="14.5" x14ac:dyDescent="0.35">
      <c r="A73" s="154" t="s">
        <v>41</v>
      </c>
      <c r="B73" s="282">
        <f t="shared" si="2"/>
        <v>25996044.780000001</v>
      </c>
      <c r="C73" s="333">
        <v>9124758.3100000005</v>
      </c>
      <c r="D73" s="333">
        <v>3072230.4699999997</v>
      </c>
      <c r="E73" s="333">
        <v>7582715</v>
      </c>
      <c r="F73" s="333">
        <v>2391077</v>
      </c>
      <c r="G73" s="333">
        <v>3825264</v>
      </c>
      <c r="H73" s="333">
        <v>0</v>
      </c>
      <c r="I73" s="333">
        <v>0</v>
      </c>
      <c r="J73" s="333">
        <v>0</v>
      </c>
      <c r="K73" s="333">
        <v>0</v>
      </c>
      <c r="L73" s="333">
        <v>0</v>
      </c>
      <c r="M73" s="333">
        <v>0</v>
      </c>
      <c r="N73" s="333">
        <v>0</v>
      </c>
    </row>
    <row r="74" spans="1:14" ht="14.5" x14ac:dyDescent="0.35">
      <c r="A74" s="154" t="s">
        <v>145</v>
      </c>
      <c r="B74" s="282">
        <f t="shared" si="2"/>
        <v>15659792.120000001</v>
      </c>
      <c r="C74" s="333">
        <v>2785542.12</v>
      </c>
      <c r="D74" s="333">
        <v>1512000</v>
      </c>
      <c r="E74" s="333">
        <v>5533809</v>
      </c>
      <c r="F74" s="333">
        <v>2428441</v>
      </c>
      <c r="G74" s="333">
        <v>3400000</v>
      </c>
      <c r="H74" s="333">
        <v>0</v>
      </c>
      <c r="I74" s="333">
        <v>0</v>
      </c>
      <c r="J74" s="333">
        <v>0</v>
      </c>
      <c r="K74" s="333">
        <v>0</v>
      </c>
      <c r="L74" s="333">
        <v>0</v>
      </c>
      <c r="M74" s="333">
        <v>0</v>
      </c>
      <c r="N74" s="333">
        <v>0</v>
      </c>
    </row>
    <row r="75" spans="1:14" ht="15" thickBot="1" x14ac:dyDescent="0.4">
      <c r="A75" s="154" t="s">
        <v>165</v>
      </c>
      <c r="B75" s="289">
        <f t="shared" si="2"/>
        <v>1347927.77</v>
      </c>
      <c r="C75" s="334">
        <v>1347927.77</v>
      </c>
      <c r="D75" s="334">
        <v>0</v>
      </c>
      <c r="E75" s="334">
        <v>0</v>
      </c>
      <c r="F75" s="334">
        <v>0</v>
      </c>
      <c r="G75" s="334">
        <v>0</v>
      </c>
      <c r="H75" s="334">
        <v>0</v>
      </c>
      <c r="I75" s="334">
        <v>0</v>
      </c>
      <c r="J75" s="334">
        <v>0</v>
      </c>
      <c r="K75" s="334">
        <v>0</v>
      </c>
      <c r="L75" s="334">
        <v>0</v>
      </c>
      <c r="M75" s="334">
        <v>0</v>
      </c>
      <c r="N75" s="334">
        <v>0</v>
      </c>
    </row>
    <row r="76" spans="1:14" ht="14" thickTop="1" x14ac:dyDescent="0.3">
      <c r="A76" s="45" t="s">
        <v>1</v>
      </c>
      <c r="B76" s="20">
        <f>SUM(C76:N76)</f>
        <v>5211524326.499999</v>
      </c>
      <c r="C76" s="20">
        <f t="shared" ref="C76:N76" si="3">SUM(C56:C75)</f>
        <v>1412504907.0499992</v>
      </c>
      <c r="D76" s="20">
        <f t="shared" si="3"/>
        <v>809802002.8499999</v>
      </c>
      <c r="E76" s="20">
        <f t="shared" si="3"/>
        <v>1057887811.9700001</v>
      </c>
      <c r="F76" s="20">
        <f t="shared" si="3"/>
        <v>1228480016.6999998</v>
      </c>
      <c r="G76" s="20">
        <f t="shared" si="3"/>
        <v>609122412.64999998</v>
      </c>
      <c r="H76" s="20">
        <f t="shared" si="3"/>
        <v>29724740.120000001</v>
      </c>
      <c r="I76" s="24">
        <f t="shared" si="3"/>
        <v>8909831.5700000003</v>
      </c>
      <c r="J76" s="24">
        <f t="shared" si="3"/>
        <v>3295880.24</v>
      </c>
      <c r="K76" s="24">
        <f t="shared" si="3"/>
        <v>0</v>
      </c>
      <c r="L76" s="24">
        <f t="shared" si="3"/>
        <v>3985393</v>
      </c>
      <c r="M76" s="24">
        <f t="shared" si="3"/>
        <v>6839948.6399999997</v>
      </c>
      <c r="N76" s="24">
        <f t="shared" si="3"/>
        <v>40971381.709999993</v>
      </c>
    </row>
    <row r="77" spans="1:14" x14ac:dyDescent="0.3">
      <c r="A77" s="37"/>
      <c r="B77" s="38"/>
      <c r="C77" s="38"/>
      <c r="D77" s="38"/>
      <c r="E77" s="38"/>
      <c r="F77" s="38"/>
      <c r="G77" s="38"/>
      <c r="H77" s="38"/>
      <c r="I77" s="39"/>
      <c r="J77" s="39"/>
      <c r="K77" s="39"/>
      <c r="L77" s="39"/>
      <c r="M77" s="39"/>
      <c r="N77" s="39"/>
    </row>
    <row r="78" spans="1:14" x14ac:dyDescent="0.3">
      <c r="A78" s="37"/>
      <c r="B78" s="38"/>
      <c r="C78" s="38"/>
      <c r="D78" s="38"/>
      <c r="E78" s="38"/>
      <c r="F78" s="38"/>
      <c r="G78" s="38"/>
      <c r="H78" s="38"/>
      <c r="I78" s="39"/>
      <c r="J78" s="39"/>
      <c r="K78" s="39"/>
      <c r="L78" s="39"/>
      <c r="M78" s="39"/>
      <c r="N78" s="39"/>
    </row>
    <row r="80" spans="1:14" x14ac:dyDescent="0.3">
      <c r="A80" s="164" t="s">
        <v>226</v>
      </c>
      <c r="B80" s="164"/>
      <c r="C80" s="164"/>
      <c r="D80" s="164"/>
      <c r="E80" s="164"/>
      <c r="F80" s="164"/>
      <c r="G80" s="164"/>
      <c r="H80" s="164"/>
      <c r="I80" s="164"/>
      <c r="J80" s="164"/>
      <c r="K80" s="164"/>
      <c r="L80" s="164"/>
      <c r="M80" s="164"/>
      <c r="N80" s="16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row>
    <row r="82" spans="1:16" x14ac:dyDescent="0.3">
      <c r="A82" s="12"/>
      <c r="B82" s="11"/>
      <c r="C82" s="13"/>
      <c r="D82" s="13"/>
      <c r="E82" s="17"/>
      <c r="F82" s="13"/>
      <c r="G82" s="13"/>
      <c r="H82" s="13"/>
      <c r="I82" s="13"/>
      <c r="J82" s="13"/>
      <c r="K82" s="13"/>
      <c r="L82" s="13"/>
      <c r="M82" s="13"/>
      <c r="N82" s="13"/>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row>
    <row r="84" spans="1:16" x14ac:dyDescent="0.3">
      <c r="A84" s="41" t="s">
        <v>182</v>
      </c>
      <c r="B84" s="71">
        <f>SUM(C84:N84)</f>
        <v>5208729326.499999</v>
      </c>
      <c r="C84" s="137">
        <v>1412504907.0499992</v>
      </c>
      <c r="D84" s="33">
        <v>809802002.8499999</v>
      </c>
      <c r="E84" s="33">
        <v>1055092811.9700001</v>
      </c>
      <c r="F84" s="137">
        <v>1228480016.6999998</v>
      </c>
      <c r="G84" s="137">
        <v>609122412.64999998</v>
      </c>
      <c r="H84" s="137">
        <v>29724740.120000001</v>
      </c>
      <c r="I84" s="50">
        <v>8909831.5700000003</v>
      </c>
      <c r="J84" s="50">
        <v>3295880.24</v>
      </c>
      <c r="K84" s="50">
        <v>0</v>
      </c>
      <c r="L84" s="50">
        <v>3985393</v>
      </c>
      <c r="M84" s="50">
        <v>6839948.6399999997</v>
      </c>
      <c r="N84" s="50">
        <v>40971381.709999993</v>
      </c>
    </row>
    <row r="85" spans="1:16" x14ac:dyDescent="0.3">
      <c r="A85" s="49" t="s">
        <v>183</v>
      </c>
      <c r="B85" s="75">
        <f t="shared" ref="B85:B87" si="4">SUM(C85:N85)</f>
        <v>2795000</v>
      </c>
      <c r="C85" s="33"/>
      <c r="D85" s="33">
        <v>0</v>
      </c>
      <c r="E85" s="33">
        <v>2795000</v>
      </c>
      <c r="F85" s="33"/>
      <c r="G85" s="33"/>
      <c r="H85" s="33"/>
      <c r="I85" s="27"/>
      <c r="J85" s="27"/>
      <c r="K85" s="27"/>
      <c r="L85" s="27"/>
      <c r="M85" s="27"/>
      <c r="N85" s="27"/>
      <c r="O85" s="70"/>
    </row>
    <row r="86" spans="1:16" x14ac:dyDescent="0.3">
      <c r="A86" s="42" t="s">
        <v>184</v>
      </c>
      <c r="B86" s="75">
        <f t="shared" si="4"/>
        <v>0</v>
      </c>
      <c r="C86" s="31"/>
      <c r="D86" s="31"/>
      <c r="E86" s="32"/>
      <c r="F86" s="33"/>
      <c r="G86" s="33"/>
      <c r="H86" s="33"/>
      <c r="I86" s="27"/>
      <c r="J86" s="27"/>
      <c r="K86" s="27"/>
      <c r="L86" s="27"/>
      <c r="M86" s="27"/>
      <c r="N86" s="28"/>
    </row>
    <row r="87" spans="1:16" ht="14" thickBot="1" x14ac:dyDescent="0.35">
      <c r="A87" s="42" t="s">
        <v>185</v>
      </c>
      <c r="B87" s="75">
        <f t="shared" si="4"/>
        <v>0</v>
      </c>
      <c r="C87" s="31"/>
      <c r="D87" s="31"/>
      <c r="E87" s="32"/>
      <c r="F87" s="33"/>
      <c r="G87" s="33"/>
      <c r="H87" s="33"/>
      <c r="I87" s="27"/>
      <c r="J87" s="27"/>
      <c r="K87" s="27"/>
      <c r="L87" s="27"/>
      <c r="M87" s="27"/>
      <c r="N87" s="28"/>
    </row>
    <row r="88" spans="1:16" ht="14" thickTop="1" x14ac:dyDescent="0.3">
      <c r="A88" s="44" t="s">
        <v>1</v>
      </c>
      <c r="B88" s="22">
        <f t="shared" ref="B88:N88" si="5">SUM(B84:B87)</f>
        <v>5211524326.499999</v>
      </c>
      <c r="C88" s="22">
        <f t="shared" si="5"/>
        <v>1412504907.0499992</v>
      </c>
      <c r="D88" s="22">
        <f t="shared" si="5"/>
        <v>809802002.8499999</v>
      </c>
      <c r="E88" s="22">
        <f t="shared" si="5"/>
        <v>1057887811.9700001</v>
      </c>
      <c r="F88" s="22">
        <f t="shared" si="5"/>
        <v>1228480016.6999998</v>
      </c>
      <c r="G88" s="22">
        <f t="shared" si="5"/>
        <v>609122412.64999998</v>
      </c>
      <c r="H88" s="22">
        <f t="shared" si="5"/>
        <v>29724740.120000001</v>
      </c>
      <c r="I88" s="22">
        <f t="shared" si="5"/>
        <v>8909831.5700000003</v>
      </c>
      <c r="J88" s="22">
        <f t="shared" si="5"/>
        <v>3295880.24</v>
      </c>
      <c r="K88" s="22">
        <f t="shared" si="5"/>
        <v>0</v>
      </c>
      <c r="L88" s="22">
        <f t="shared" si="5"/>
        <v>3985393</v>
      </c>
      <c r="M88" s="22">
        <f t="shared" si="5"/>
        <v>6839948.6399999997</v>
      </c>
      <c r="N88" s="23">
        <f t="shared" si="5"/>
        <v>40971381.709999993</v>
      </c>
    </row>
    <row r="89" spans="1:16" x14ac:dyDescent="0.3">
      <c r="A89" s="26"/>
      <c r="B89" s="40"/>
      <c r="C89" s="40"/>
      <c r="D89" s="40"/>
      <c r="E89" s="40"/>
      <c r="F89" s="40"/>
      <c r="G89" s="40"/>
      <c r="H89" s="40"/>
      <c r="I89" s="40"/>
      <c r="J89" s="40"/>
      <c r="K89" s="40"/>
      <c r="L89" s="40"/>
      <c r="M89" s="40"/>
      <c r="N89" s="40"/>
    </row>
    <row r="91" spans="1:16" x14ac:dyDescent="0.3">
      <c r="A91" s="164" t="s">
        <v>227</v>
      </c>
      <c r="B91" s="164"/>
      <c r="C91" s="164"/>
      <c r="D91" s="164"/>
      <c r="E91" s="164"/>
      <c r="F91" s="164"/>
      <c r="G91" s="164"/>
      <c r="H91" s="164"/>
      <c r="I91" s="164"/>
      <c r="J91" s="164"/>
      <c r="K91" s="164"/>
      <c r="L91" s="164"/>
      <c r="M91" s="164"/>
      <c r="N91" s="16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row>
    <row r="93" spans="1:16" x14ac:dyDescent="0.3">
      <c r="A93" s="46"/>
      <c r="B93" s="11"/>
      <c r="C93" s="13"/>
      <c r="D93" s="13"/>
      <c r="E93" s="17"/>
      <c r="F93" s="13"/>
      <c r="G93" s="13"/>
      <c r="H93" s="13"/>
      <c r="I93" s="13"/>
      <c r="J93" s="13"/>
      <c r="K93" s="13"/>
      <c r="L93" s="13"/>
      <c r="M93" s="13"/>
      <c r="N93" s="13"/>
      <c r="O93" s="69"/>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row>
    <row r="95" spans="1:16" x14ac:dyDescent="0.3">
      <c r="A95" s="42" t="s">
        <v>62</v>
      </c>
      <c r="B95" s="71">
        <f>SUM(C95:N95)</f>
        <v>431633490.62</v>
      </c>
      <c r="C95" s="72">
        <v>96899625.019999996</v>
      </c>
      <c r="D95" s="73">
        <v>43633303.43</v>
      </c>
      <c r="E95" s="73">
        <v>73457556.079999998</v>
      </c>
      <c r="F95" s="73">
        <v>117620743.72999999</v>
      </c>
      <c r="G95" s="73">
        <v>96727895</v>
      </c>
      <c r="H95" s="78">
        <v>0</v>
      </c>
      <c r="I95" s="74">
        <v>0</v>
      </c>
      <c r="J95" s="75">
        <v>0</v>
      </c>
      <c r="K95" s="71">
        <v>0</v>
      </c>
      <c r="L95" s="76">
        <v>0</v>
      </c>
      <c r="M95" s="76">
        <v>0</v>
      </c>
      <c r="N95" s="71">
        <v>3294367.36</v>
      </c>
    </row>
    <row r="96" spans="1:16" x14ac:dyDescent="0.3">
      <c r="A96" s="42" t="s">
        <v>63</v>
      </c>
      <c r="B96" s="75">
        <f t="shared" ref="B96:B99" si="6">SUM(C96:N96)</f>
        <v>1103824450.05</v>
      </c>
      <c r="C96" s="77">
        <v>168098865.52999997</v>
      </c>
      <c r="D96" s="78">
        <v>128352628.08999999</v>
      </c>
      <c r="E96" s="78">
        <v>216858697.95000005</v>
      </c>
      <c r="F96" s="78">
        <v>352434787.69999999</v>
      </c>
      <c r="G96" s="78">
        <v>217510163.78</v>
      </c>
      <c r="H96" s="78">
        <v>5325000</v>
      </c>
      <c r="I96" s="74">
        <v>2336125</v>
      </c>
      <c r="J96" s="75">
        <v>0</v>
      </c>
      <c r="K96" s="75">
        <v>0</v>
      </c>
      <c r="L96" s="74">
        <v>3985393</v>
      </c>
      <c r="M96" s="74">
        <v>0</v>
      </c>
      <c r="N96" s="75">
        <v>8922789</v>
      </c>
    </row>
    <row r="97" spans="1:15" x14ac:dyDescent="0.3">
      <c r="A97" s="42" t="s">
        <v>64</v>
      </c>
      <c r="B97" s="75">
        <f t="shared" si="6"/>
        <v>1024518407.4600002</v>
      </c>
      <c r="C97" s="77">
        <v>219022907.34000003</v>
      </c>
      <c r="D97" s="78">
        <v>152514254.36000001</v>
      </c>
      <c r="E97" s="78">
        <v>216780440.34</v>
      </c>
      <c r="F97" s="78">
        <v>272729314.71000004</v>
      </c>
      <c r="G97" s="78">
        <v>149966931.84</v>
      </c>
      <c r="H97" s="78">
        <v>2755755</v>
      </c>
      <c r="I97" s="74">
        <v>4302943</v>
      </c>
      <c r="J97" s="75">
        <v>0</v>
      </c>
      <c r="K97" s="75">
        <v>0</v>
      </c>
      <c r="L97" s="74">
        <v>0</v>
      </c>
      <c r="M97" s="74">
        <v>0</v>
      </c>
      <c r="N97" s="75">
        <v>6445860.8700000001</v>
      </c>
    </row>
    <row r="98" spans="1:15" x14ac:dyDescent="0.3">
      <c r="A98" s="42" t="s">
        <v>65</v>
      </c>
      <c r="B98" s="75">
        <f t="shared" si="6"/>
        <v>1363185719.4100001</v>
      </c>
      <c r="C98" s="77">
        <v>395995073.44000036</v>
      </c>
      <c r="D98" s="78">
        <v>219749208.99999997</v>
      </c>
      <c r="E98" s="78">
        <v>288955833.26000005</v>
      </c>
      <c r="F98" s="78">
        <v>326590240.5</v>
      </c>
      <c r="G98" s="78">
        <v>110192963.36</v>
      </c>
      <c r="H98" s="78">
        <v>10535430.609999999</v>
      </c>
      <c r="I98" s="74">
        <v>0</v>
      </c>
      <c r="J98" s="75">
        <v>3295880.24</v>
      </c>
      <c r="K98" s="75">
        <v>0</v>
      </c>
      <c r="L98" s="74">
        <v>0</v>
      </c>
      <c r="M98" s="74">
        <v>0</v>
      </c>
      <c r="N98" s="75">
        <v>7871089</v>
      </c>
    </row>
    <row r="99" spans="1:15" ht="14" thickBot="1" x14ac:dyDescent="0.35">
      <c r="A99" s="43" t="s">
        <v>66</v>
      </c>
      <c r="B99" s="79">
        <f t="shared" si="6"/>
        <v>1288362258.96</v>
      </c>
      <c r="C99" s="80">
        <v>532488435.71999997</v>
      </c>
      <c r="D99" s="80">
        <v>265552607.96999991</v>
      </c>
      <c r="E99" s="80">
        <v>261835284.34</v>
      </c>
      <c r="F99" s="80">
        <v>159104930.06</v>
      </c>
      <c r="G99" s="80">
        <v>34724458.670000002</v>
      </c>
      <c r="H99" s="80">
        <v>11108554.51</v>
      </c>
      <c r="I99" s="81">
        <v>2270763.5699999998</v>
      </c>
      <c r="J99" s="79">
        <v>0</v>
      </c>
      <c r="K99" s="79">
        <v>0</v>
      </c>
      <c r="L99" s="81">
        <v>0</v>
      </c>
      <c r="M99" s="81">
        <v>6839948.6400000006</v>
      </c>
      <c r="N99" s="79">
        <v>14437275.48</v>
      </c>
    </row>
    <row r="100" spans="1:15" ht="14" thickTop="1" x14ac:dyDescent="0.3">
      <c r="A100" s="42" t="s">
        <v>1</v>
      </c>
      <c r="B100" s="82">
        <f>SUM(B95:B99)</f>
        <v>5211524326.5</v>
      </c>
      <c r="C100" s="82">
        <f>SUM(C95:C99)</f>
        <v>1412504907.0500004</v>
      </c>
      <c r="D100" s="82">
        <f t="shared" ref="D100:N100" si="7">SUM(D95:D99)</f>
        <v>809802002.8499999</v>
      </c>
      <c r="E100" s="82">
        <f t="shared" si="7"/>
        <v>1057887811.9700001</v>
      </c>
      <c r="F100" s="82">
        <f t="shared" si="7"/>
        <v>1228480016.7</v>
      </c>
      <c r="G100" s="82">
        <f t="shared" si="7"/>
        <v>609122412.64999998</v>
      </c>
      <c r="H100" s="82">
        <f t="shared" si="7"/>
        <v>29724740.119999997</v>
      </c>
      <c r="I100" s="82">
        <f t="shared" si="7"/>
        <v>8909831.5700000003</v>
      </c>
      <c r="J100" s="82">
        <f t="shared" si="7"/>
        <v>3295880.24</v>
      </c>
      <c r="K100" s="82">
        <f t="shared" si="7"/>
        <v>0</v>
      </c>
      <c r="L100" s="82">
        <f t="shared" si="7"/>
        <v>3985393</v>
      </c>
      <c r="M100" s="82">
        <f t="shared" si="7"/>
        <v>6839948.6400000006</v>
      </c>
      <c r="N100" s="82">
        <f t="shared" si="7"/>
        <v>40971381.710000001</v>
      </c>
      <c r="O100" s="70"/>
    </row>
    <row r="101" spans="1:15" x14ac:dyDescent="0.3">
      <c r="A101" s="26"/>
      <c r="B101" s="83"/>
      <c r="C101" s="83"/>
      <c r="D101" s="83"/>
      <c r="E101" s="83"/>
      <c r="F101" s="83"/>
      <c r="G101" s="83"/>
      <c r="H101" s="83"/>
      <c r="I101" s="83"/>
      <c r="J101" s="83"/>
      <c r="K101" s="83"/>
      <c r="L101" s="83"/>
      <c r="M101" s="83"/>
      <c r="N101" s="83"/>
      <c r="O101" s="67"/>
    </row>
    <row r="102" spans="1:15" x14ac:dyDescent="0.3">
      <c r="A102" s="67"/>
    </row>
    <row r="103" spans="1:15" x14ac:dyDescent="0.3">
      <c r="A103" s="164" t="s">
        <v>228</v>
      </c>
      <c r="B103" s="164"/>
      <c r="C103" s="164"/>
      <c r="D103" s="164"/>
      <c r="E103" s="164"/>
      <c r="F103" s="164"/>
      <c r="G103" s="164"/>
      <c r="H103" s="164"/>
      <c r="I103" s="164"/>
      <c r="J103" s="164"/>
      <c r="K103" s="164"/>
      <c r="L103" s="164"/>
      <c r="M103" s="164"/>
      <c r="N103" s="164"/>
    </row>
    <row r="104" spans="1:15" x14ac:dyDescent="0.3">
      <c r="A104" s="108"/>
      <c r="B104" s="109"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row>
    <row r="105" spans="1:15" x14ac:dyDescent="0.3">
      <c r="A105" s="46"/>
      <c r="B105" s="11"/>
      <c r="C105" s="13"/>
      <c r="D105" s="13"/>
      <c r="E105" s="17"/>
      <c r="F105" s="13"/>
      <c r="G105" s="13"/>
      <c r="H105" s="13"/>
      <c r="I105" s="13"/>
      <c r="J105" s="13"/>
      <c r="K105" s="13"/>
      <c r="L105" s="13"/>
      <c r="M105" s="13"/>
      <c r="N105" s="13"/>
    </row>
    <row r="106" spans="1:15" ht="27" x14ac:dyDescent="0.3">
      <c r="A106" s="47"/>
      <c r="B106" s="25" t="s">
        <v>4</v>
      </c>
      <c r="C106" s="15" t="s">
        <v>4</v>
      </c>
      <c r="D106" s="15" t="s">
        <v>4</v>
      </c>
      <c r="E106" s="14" t="s">
        <v>4</v>
      </c>
      <c r="F106" s="15" t="s">
        <v>4</v>
      </c>
      <c r="G106" s="15" t="s">
        <v>4</v>
      </c>
      <c r="H106" s="15" t="s">
        <v>4</v>
      </c>
      <c r="I106" s="15" t="s">
        <v>4</v>
      </c>
      <c r="J106" s="15" t="s">
        <v>4</v>
      </c>
      <c r="K106" s="15" t="s">
        <v>4</v>
      </c>
      <c r="L106" s="15" t="s">
        <v>4</v>
      </c>
      <c r="M106" s="15" t="s">
        <v>4</v>
      </c>
      <c r="N106" s="15" t="s">
        <v>4</v>
      </c>
    </row>
    <row r="107" spans="1:15" x14ac:dyDescent="0.3">
      <c r="A107" s="42" t="s">
        <v>201</v>
      </c>
      <c r="B107" s="140">
        <f t="shared" ref="B107:B110" si="8">SUM(C107:N107)</f>
        <v>5188814274.5</v>
      </c>
      <c r="C107" s="138">
        <v>1402015348.0500004</v>
      </c>
      <c r="D107" s="85">
        <v>804413413.85000002</v>
      </c>
      <c r="E107" s="85">
        <v>1055291491.9700003</v>
      </c>
      <c r="F107" s="85">
        <v>1227444432.6999998</v>
      </c>
      <c r="G107" s="85">
        <v>605922412.64999998</v>
      </c>
      <c r="H107" s="85">
        <v>29724740.120000001</v>
      </c>
      <c r="I107" s="86">
        <v>8909831.5700000003</v>
      </c>
      <c r="J107" s="86">
        <v>0</v>
      </c>
      <c r="K107" s="86">
        <v>3295880.24</v>
      </c>
      <c r="L107" s="86">
        <v>3985393</v>
      </c>
      <c r="M107" s="86">
        <v>6839948.6400000006</v>
      </c>
      <c r="N107" s="87">
        <v>40971381.710000001</v>
      </c>
    </row>
    <row r="108" spans="1:15" x14ac:dyDescent="0.3">
      <c r="A108" s="42" t="s">
        <v>202</v>
      </c>
      <c r="B108" s="88">
        <f t="shared" si="8"/>
        <v>21690052</v>
      </c>
      <c r="C108" s="89">
        <v>9469559</v>
      </c>
      <c r="D108" s="90">
        <v>5388589</v>
      </c>
      <c r="E108" s="90">
        <v>2596320</v>
      </c>
      <c r="F108" s="90">
        <v>1035584</v>
      </c>
      <c r="G108" s="90">
        <v>3200000</v>
      </c>
      <c r="H108" s="90">
        <v>0</v>
      </c>
      <c r="I108" s="91">
        <v>0</v>
      </c>
      <c r="J108" s="91">
        <v>0</v>
      </c>
      <c r="K108" s="91">
        <v>0</v>
      </c>
      <c r="L108" s="91">
        <v>0</v>
      </c>
      <c r="M108" s="91">
        <v>0</v>
      </c>
      <c r="N108" s="92">
        <v>0</v>
      </c>
    </row>
    <row r="109" spans="1:15" x14ac:dyDescent="0.3">
      <c r="A109" s="42" t="s">
        <v>58</v>
      </c>
      <c r="B109" s="88">
        <f t="shared" si="8"/>
        <v>1020000</v>
      </c>
      <c r="C109" s="89">
        <v>1020000</v>
      </c>
      <c r="D109" s="90">
        <v>0</v>
      </c>
      <c r="E109" s="90">
        <v>0</v>
      </c>
      <c r="F109" s="90">
        <v>0</v>
      </c>
      <c r="G109" s="90">
        <v>0</v>
      </c>
      <c r="H109" s="90">
        <v>0</v>
      </c>
      <c r="I109" s="91">
        <v>0</v>
      </c>
      <c r="J109" s="91">
        <v>0</v>
      </c>
      <c r="K109" s="91">
        <v>0</v>
      </c>
      <c r="L109" s="91">
        <v>0</v>
      </c>
      <c r="M109" s="91">
        <v>0</v>
      </c>
      <c r="N109" s="92">
        <v>0</v>
      </c>
    </row>
    <row r="110" spans="1:15" ht="14" thickBot="1" x14ac:dyDescent="0.35">
      <c r="A110" s="43" t="s">
        <v>203</v>
      </c>
      <c r="B110" s="148">
        <f t="shared" si="8"/>
        <v>0</v>
      </c>
      <c r="C110" s="89">
        <v>0</v>
      </c>
      <c r="D110" s="90">
        <v>0</v>
      </c>
      <c r="E110" s="90">
        <v>0</v>
      </c>
      <c r="F110" s="90">
        <v>0</v>
      </c>
      <c r="G110" s="90">
        <v>0</v>
      </c>
      <c r="H110" s="90">
        <v>0</v>
      </c>
      <c r="I110" s="91">
        <v>0</v>
      </c>
      <c r="J110" s="91">
        <v>0</v>
      </c>
      <c r="K110" s="91">
        <v>0</v>
      </c>
      <c r="L110" s="91">
        <v>0</v>
      </c>
      <c r="M110" s="91">
        <v>0</v>
      </c>
      <c r="N110" s="96">
        <v>0</v>
      </c>
    </row>
    <row r="111" spans="1:15" ht="14" thickTop="1" x14ac:dyDescent="0.3">
      <c r="A111" s="42" t="s">
        <v>1</v>
      </c>
      <c r="B111" s="139">
        <f>SUM(B107:B110)</f>
        <v>5211524326.5</v>
      </c>
      <c r="C111" s="97">
        <f t="shared" ref="C111:N111" si="9">SUM(C107:C110)</f>
        <v>1412504907.0500004</v>
      </c>
      <c r="D111" s="97">
        <f t="shared" si="9"/>
        <v>809802002.85000002</v>
      </c>
      <c r="E111" s="97">
        <f t="shared" si="9"/>
        <v>1057887811.9700003</v>
      </c>
      <c r="F111" s="97">
        <f t="shared" si="9"/>
        <v>1228480016.6999998</v>
      </c>
      <c r="G111" s="97">
        <f t="shared" si="9"/>
        <v>609122412.64999998</v>
      </c>
      <c r="H111" s="97">
        <f t="shared" si="9"/>
        <v>29724740.120000001</v>
      </c>
      <c r="I111" s="97">
        <f t="shared" si="9"/>
        <v>8909831.5700000003</v>
      </c>
      <c r="J111" s="97">
        <f t="shared" si="9"/>
        <v>0</v>
      </c>
      <c r="K111" s="97">
        <f t="shared" si="9"/>
        <v>3295880.24</v>
      </c>
      <c r="L111" s="97">
        <f t="shared" si="9"/>
        <v>3985393</v>
      </c>
      <c r="M111" s="97">
        <f t="shared" si="9"/>
        <v>6839948.6400000006</v>
      </c>
      <c r="N111" s="98">
        <f t="shared" si="9"/>
        <v>40971381.710000001</v>
      </c>
    </row>
    <row r="112" spans="1:15" x14ac:dyDescent="0.3">
      <c r="A112" s="26"/>
      <c r="B112" s="99"/>
      <c r="C112" s="99"/>
      <c r="D112" s="99"/>
      <c r="E112" s="99"/>
      <c r="F112" s="99"/>
      <c r="G112" s="99"/>
      <c r="H112" s="99"/>
      <c r="I112" s="99"/>
      <c r="J112" s="99"/>
      <c r="K112" s="99"/>
      <c r="L112" s="99"/>
      <c r="M112" s="99"/>
      <c r="N112" s="99"/>
    </row>
    <row r="114" spans="1:15" x14ac:dyDescent="0.3">
      <c r="A114" s="164" t="s">
        <v>229</v>
      </c>
      <c r="B114" s="164"/>
      <c r="C114" s="164"/>
      <c r="D114" s="164"/>
      <c r="E114" s="164"/>
      <c r="F114" s="164"/>
      <c r="G114" s="164"/>
      <c r="H114" s="164"/>
      <c r="I114" s="164"/>
      <c r="J114" s="164"/>
      <c r="K114" s="164"/>
      <c r="L114" s="164"/>
      <c r="M114" s="164"/>
      <c r="N114" s="16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row>
    <row r="116" spans="1:15" x14ac:dyDescent="0.3">
      <c r="A116" s="48"/>
      <c r="B116" s="11"/>
      <c r="C116" s="13"/>
      <c r="D116" s="13"/>
      <c r="E116" s="17"/>
      <c r="F116" s="13"/>
      <c r="G116" s="13"/>
      <c r="H116" s="13"/>
      <c r="I116" s="13"/>
      <c r="J116" s="13"/>
      <c r="K116" s="13"/>
      <c r="L116" s="13"/>
      <c r="M116" s="13"/>
      <c r="N116" s="13"/>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row>
    <row r="118" spans="1:15" x14ac:dyDescent="0.3">
      <c r="A118" s="42" t="s">
        <v>57</v>
      </c>
      <c r="B118" s="137">
        <f>SUM(C118:N118)</f>
        <v>5211524326.5</v>
      </c>
      <c r="C118" s="137">
        <v>1412504907.0500004</v>
      </c>
      <c r="D118" s="137">
        <v>809802002.8499999</v>
      </c>
      <c r="E118" s="137">
        <v>1057887811.9700001</v>
      </c>
      <c r="F118" s="137">
        <v>1228480016.7</v>
      </c>
      <c r="G118" s="137">
        <v>609122412.64999998</v>
      </c>
      <c r="H118" s="137">
        <v>29724740.119999997</v>
      </c>
      <c r="I118" s="50">
        <v>8909831.5700000003</v>
      </c>
      <c r="J118" s="50">
        <v>3295880.24</v>
      </c>
      <c r="K118" s="50">
        <v>0</v>
      </c>
      <c r="L118" s="50">
        <v>3985393</v>
      </c>
      <c r="M118" s="50">
        <v>6839948.6400000006</v>
      </c>
      <c r="N118" s="50">
        <v>40971381.710000001</v>
      </c>
      <c r="O118" s="70"/>
    </row>
    <row r="119" spans="1:15" x14ac:dyDescent="0.3">
      <c r="A119" s="42" t="s">
        <v>67</v>
      </c>
      <c r="B119" s="100"/>
      <c r="C119" s="90"/>
      <c r="D119" s="90"/>
      <c r="E119" s="90"/>
      <c r="F119" s="90"/>
      <c r="G119" s="90"/>
      <c r="H119" s="90"/>
      <c r="I119" s="91"/>
      <c r="J119" s="91"/>
      <c r="K119" s="91"/>
      <c r="L119" s="91"/>
      <c r="M119" s="91"/>
      <c r="N119" s="91"/>
      <c r="O119" s="70"/>
    </row>
    <row r="120" spans="1:15" x14ac:dyDescent="0.3">
      <c r="A120" s="42" t="s">
        <v>68</v>
      </c>
      <c r="B120" s="100"/>
      <c r="C120" s="90"/>
      <c r="D120" s="90"/>
      <c r="E120" s="90"/>
      <c r="F120" s="90"/>
      <c r="G120" s="90"/>
      <c r="H120" s="90"/>
      <c r="I120" s="91"/>
      <c r="J120" s="91"/>
      <c r="K120" s="91"/>
      <c r="L120" s="91"/>
      <c r="M120" s="91"/>
      <c r="N120" s="91"/>
      <c r="O120" s="70"/>
    </row>
    <row r="121" spans="1:15" ht="14" thickBot="1" x14ac:dyDescent="0.35">
      <c r="A121" s="43" t="s">
        <v>69</v>
      </c>
      <c r="B121" s="93"/>
      <c r="C121" s="94"/>
      <c r="D121" s="94"/>
      <c r="E121" s="94"/>
      <c r="F121" s="94"/>
      <c r="G121" s="94"/>
      <c r="H121" s="94"/>
      <c r="I121" s="95"/>
      <c r="J121" s="95"/>
      <c r="K121" s="95"/>
      <c r="L121" s="95"/>
      <c r="M121" s="95"/>
      <c r="N121" s="95"/>
      <c r="O121" s="70"/>
    </row>
    <row r="122" spans="1:15" ht="14" thickTop="1" x14ac:dyDescent="0.3">
      <c r="A122" s="42" t="s">
        <v>1</v>
      </c>
      <c r="B122" s="97">
        <f>SUM(B118:B121)</f>
        <v>5211524326.5</v>
      </c>
      <c r="C122" s="97">
        <f>SUM(C118:C121)</f>
        <v>1412504907.0500004</v>
      </c>
      <c r="D122" s="97">
        <f t="shared" ref="D122:N122" si="10">SUM(D118:D121)</f>
        <v>809802002.8499999</v>
      </c>
      <c r="E122" s="97">
        <f t="shared" si="10"/>
        <v>1057887811.9700001</v>
      </c>
      <c r="F122" s="97">
        <f t="shared" si="10"/>
        <v>1228480016.7</v>
      </c>
      <c r="G122" s="97">
        <f t="shared" si="10"/>
        <v>609122412.64999998</v>
      </c>
      <c r="H122" s="97">
        <f t="shared" si="10"/>
        <v>29724740.119999997</v>
      </c>
      <c r="I122" s="97">
        <f t="shared" si="10"/>
        <v>8909831.5700000003</v>
      </c>
      <c r="J122" s="97">
        <f t="shared" si="10"/>
        <v>3295880.24</v>
      </c>
      <c r="K122" s="97">
        <f t="shared" si="10"/>
        <v>0</v>
      </c>
      <c r="L122" s="97">
        <f t="shared" si="10"/>
        <v>3985393</v>
      </c>
      <c r="M122" s="97">
        <f t="shared" si="10"/>
        <v>6839948.6400000006</v>
      </c>
      <c r="N122" s="97">
        <f t="shared" si="10"/>
        <v>40971381.710000001</v>
      </c>
      <c r="O122" s="70"/>
    </row>
    <row r="123" spans="1:15" x14ac:dyDescent="0.3">
      <c r="A123" s="26"/>
      <c r="B123" s="99"/>
      <c r="C123" s="99"/>
      <c r="D123" s="99"/>
      <c r="E123" s="99"/>
      <c r="F123" s="99"/>
      <c r="G123" s="99"/>
      <c r="H123" s="99"/>
      <c r="I123" s="99"/>
      <c r="J123" s="99"/>
      <c r="K123" s="99"/>
      <c r="L123" s="99"/>
      <c r="M123" s="99"/>
      <c r="N123" s="99"/>
      <c r="O123" s="67"/>
    </row>
    <row r="125" spans="1:15" x14ac:dyDescent="0.3">
      <c r="A125" s="164" t="s">
        <v>230</v>
      </c>
      <c r="B125" s="164"/>
      <c r="C125" s="164"/>
      <c r="D125" s="164"/>
      <c r="E125" s="164"/>
      <c r="F125" s="164"/>
      <c r="G125" s="164"/>
      <c r="H125" s="164"/>
      <c r="I125" s="164"/>
    </row>
    <row r="126" spans="1:15" ht="40.5" x14ac:dyDescent="0.3">
      <c r="A126" s="109" t="s">
        <v>50</v>
      </c>
      <c r="B126" s="109" t="s">
        <v>51</v>
      </c>
      <c r="C126" s="149" t="s">
        <v>204</v>
      </c>
      <c r="D126" s="149" t="s">
        <v>59</v>
      </c>
      <c r="E126" s="149" t="s">
        <v>61</v>
      </c>
      <c r="F126" s="149" t="s">
        <v>53</v>
      </c>
      <c r="G126" s="150" t="s">
        <v>60</v>
      </c>
      <c r="H126" s="151" t="s">
        <v>54</v>
      </c>
      <c r="I126" s="150" t="s">
        <v>55</v>
      </c>
    </row>
    <row r="127" spans="1:15" x14ac:dyDescent="0.3">
      <c r="A127" s="42" t="s">
        <v>96</v>
      </c>
      <c r="B127" s="70" t="s">
        <v>3</v>
      </c>
      <c r="C127" s="91">
        <v>75000000</v>
      </c>
      <c r="D127" s="277" t="s">
        <v>104</v>
      </c>
      <c r="E127" s="277">
        <v>43173</v>
      </c>
      <c r="F127" s="101" t="s">
        <v>58</v>
      </c>
      <c r="G127" s="101" t="s">
        <v>109</v>
      </c>
      <c r="H127" s="277" t="s">
        <v>113</v>
      </c>
      <c r="I127" s="143">
        <v>5</v>
      </c>
    </row>
    <row r="128" spans="1:15" x14ac:dyDescent="0.3">
      <c r="A128" s="42" t="s">
        <v>99</v>
      </c>
      <c r="B128" s="70" t="s">
        <v>3</v>
      </c>
      <c r="C128" s="91">
        <v>734000000</v>
      </c>
      <c r="D128" s="277" t="s">
        <v>107</v>
      </c>
      <c r="E128" s="277">
        <v>42922</v>
      </c>
      <c r="F128" s="101" t="s">
        <v>56</v>
      </c>
      <c r="G128" s="101" t="s">
        <v>108</v>
      </c>
      <c r="H128" s="277" t="s">
        <v>116</v>
      </c>
      <c r="I128" s="143">
        <v>6</v>
      </c>
    </row>
    <row r="129" spans="1:9" x14ac:dyDescent="0.3">
      <c r="A129" s="42" t="s">
        <v>94</v>
      </c>
      <c r="B129" s="70" t="s">
        <v>3</v>
      </c>
      <c r="C129" s="91">
        <v>920000000</v>
      </c>
      <c r="D129" s="277" t="s">
        <v>102</v>
      </c>
      <c r="E129" s="277">
        <v>43357</v>
      </c>
      <c r="F129" s="101" t="s">
        <v>56</v>
      </c>
      <c r="G129" s="101" t="s">
        <v>108</v>
      </c>
      <c r="H129" s="277" t="s">
        <v>112</v>
      </c>
      <c r="I129" s="143">
        <v>7</v>
      </c>
    </row>
    <row r="130" spans="1:9" x14ac:dyDescent="0.3">
      <c r="A130" s="42" t="s">
        <v>164</v>
      </c>
      <c r="B130" s="70" t="s">
        <v>3</v>
      </c>
      <c r="C130" s="91">
        <v>1000000000</v>
      </c>
      <c r="D130" s="277">
        <f>E130-365</f>
        <v>43242</v>
      </c>
      <c r="E130" s="277">
        <v>43607</v>
      </c>
      <c r="F130" s="101" t="s">
        <v>56</v>
      </c>
      <c r="G130" s="101" t="s">
        <v>108</v>
      </c>
      <c r="H130" s="277">
        <v>41355</v>
      </c>
      <c r="I130" s="143">
        <v>9</v>
      </c>
    </row>
    <row r="131" spans="1:9" x14ac:dyDescent="0.3">
      <c r="A131" s="26" t="s">
        <v>167</v>
      </c>
      <c r="B131" s="70" t="s">
        <v>3</v>
      </c>
      <c r="C131" s="91">
        <v>425000000</v>
      </c>
      <c r="D131" s="277">
        <v>42464</v>
      </c>
      <c r="E131" s="277">
        <v>42829</v>
      </c>
      <c r="F131" s="101" t="s">
        <v>56</v>
      </c>
      <c r="G131" s="101" t="s">
        <v>108</v>
      </c>
      <c r="H131" s="277">
        <v>41367</v>
      </c>
      <c r="I131" s="143">
        <v>10</v>
      </c>
    </row>
    <row r="132" spans="1:9" x14ac:dyDescent="0.3">
      <c r="A132" s="26" t="s">
        <v>200</v>
      </c>
      <c r="B132" s="308" t="s">
        <v>3</v>
      </c>
      <c r="C132" s="92">
        <v>650000000</v>
      </c>
      <c r="D132" s="309">
        <v>43438</v>
      </c>
      <c r="E132" s="309">
        <v>43803</v>
      </c>
      <c r="F132" s="143" t="s">
        <v>58</v>
      </c>
      <c r="G132" s="143" t="s">
        <v>109</v>
      </c>
      <c r="H132" s="309">
        <v>41521</v>
      </c>
      <c r="I132" s="143">
        <v>11</v>
      </c>
    </row>
    <row r="133" spans="1:9" x14ac:dyDescent="0.3">
      <c r="A133" s="26" t="s">
        <v>206</v>
      </c>
      <c r="B133" s="308" t="s">
        <v>3</v>
      </c>
      <c r="C133" s="91">
        <v>500000000</v>
      </c>
      <c r="D133" s="277">
        <v>43640</v>
      </c>
      <c r="E133" s="277">
        <v>44006</v>
      </c>
      <c r="F133" s="101" t="s">
        <v>56</v>
      </c>
      <c r="G133" s="101" t="s">
        <v>108</v>
      </c>
      <c r="H133" s="309">
        <v>41663</v>
      </c>
      <c r="I133" s="143">
        <v>12</v>
      </c>
    </row>
    <row r="134" spans="1:9" ht="14" thickBot="1" x14ac:dyDescent="0.35">
      <c r="A134" s="43" t="s">
        <v>207</v>
      </c>
      <c r="B134" s="169" t="s">
        <v>3</v>
      </c>
      <c r="C134" s="95">
        <v>400000000</v>
      </c>
      <c r="D134" s="275">
        <v>44315</v>
      </c>
      <c r="E134" s="275">
        <v>44680</v>
      </c>
      <c r="F134" s="172" t="s">
        <v>56</v>
      </c>
      <c r="G134" s="171" t="s">
        <v>108</v>
      </c>
      <c r="H134" s="278">
        <v>41521</v>
      </c>
      <c r="I134" s="172">
        <v>13</v>
      </c>
    </row>
    <row r="135" spans="1:9" s="67" customFormat="1" ht="14" thickTop="1" x14ac:dyDescent="0.3">
      <c r="A135" s="26"/>
      <c r="C135" s="104"/>
      <c r="D135" s="102"/>
      <c r="E135" s="102"/>
      <c r="F135" s="105"/>
      <c r="I135" s="102"/>
    </row>
    <row r="136" spans="1:9" s="67" customFormat="1" x14ac:dyDescent="0.3">
      <c r="A136" s="26"/>
      <c r="C136" s="104"/>
      <c r="D136" s="102"/>
      <c r="E136" s="102"/>
      <c r="F136" s="105"/>
      <c r="I136" s="102"/>
    </row>
    <row r="137" spans="1:9" s="67" customFormat="1" x14ac:dyDescent="0.3">
      <c r="A137" s="164" t="s">
        <v>231</v>
      </c>
      <c r="B137" s="164"/>
      <c r="C137" s="164"/>
      <c r="D137" s="164"/>
      <c r="E137" s="164"/>
      <c r="F137" s="164"/>
      <c r="I137" s="102"/>
    </row>
    <row r="138" spans="1:9" s="67" customFormat="1" x14ac:dyDescent="0.3">
      <c r="A138" s="136" t="s">
        <v>119</v>
      </c>
      <c r="B138" s="19" t="s">
        <v>50</v>
      </c>
      <c r="C138" s="19" t="s">
        <v>120</v>
      </c>
      <c r="D138" s="19" t="s">
        <v>51</v>
      </c>
      <c r="E138" s="63" t="s">
        <v>121</v>
      </c>
      <c r="F138" s="63" t="s">
        <v>166</v>
      </c>
      <c r="I138" s="102"/>
    </row>
    <row r="139" spans="1:9" s="67" customFormat="1" x14ac:dyDescent="0.3">
      <c r="A139" s="8" t="s">
        <v>123</v>
      </c>
      <c r="B139" s="125" t="s">
        <v>124</v>
      </c>
      <c r="C139" s="125" t="s">
        <v>125</v>
      </c>
      <c r="D139" s="125" t="s">
        <v>3</v>
      </c>
      <c r="E139" s="92">
        <v>7271000</v>
      </c>
      <c r="F139" s="64" t="s">
        <v>242</v>
      </c>
      <c r="I139" s="102"/>
    </row>
    <row r="140" spans="1:9" s="67" customFormat="1" x14ac:dyDescent="0.3">
      <c r="A140" s="7" t="s">
        <v>172</v>
      </c>
      <c r="B140" s="126" t="s">
        <v>178</v>
      </c>
      <c r="C140" s="126" t="s">
        <v>128</v>
      </c>
      <c r="D140" s="126" t="s">
        <v>3</v>
      </c>
      <c r="E140" s="92">
        <v>10000000</v>
      </c>
      <c r="F140" s="64" t="s">
        <v>129</v>
      </c>
      <c r="I140" s="102"/>
    </row>
    <row r="141" spans="1:9" s="67" customFormat="1" x14ac:dyDescent="0.3">
      <c r="A141" s="7" t="s">
        <v>211</v>
      </c>
      <c r="B141" s="126" t="s">
        <v>216</v>
      </c>
      <c r="C141" s="126" t="s">
        <v>128</v>
      </c>
      <c r="D141" s="126" t="s">
        <v>3</v>
      </c>
      <c r="E141" s="91">
        <v>124000000</v>
      </c>
      <c r="F141" s="64" t="s">
        <v>195</v>
      </c>
      <c r="I141" s="102"/>
    </row>
    <row r="142" spans="1:9" s="67" customFormat="1" x14ac:dyDescent="0.3">
      <c r="A142" s="7" t="s">
        <v>190</v>
      </c>
      <c r="B142" s="126" t="s">
        <v>194</v>
      </c>
      <c r="C142" s="126" t="s">
        <v>128</v>
      </c>
      <c r="D142" s="126" t="s">
        <v>3</v>
      </c>
      <c r="E142" s="92">
        <v>45000000</v>
      </c>
      <c r="F142" s="64" t="s">
        <v>129</v>
      </c>
      <c r="I142" s="102"/>
    </row>
    <row r="143" spans="1:9" s="67" customFormat="1" x14ac:dyDescent="0.3">
      <c r="A143" s="7" t="s">
        <v>175</v>
      </c>
      <c r="B143" s="126" t="s">
        <v>163</v>
      </c>
      <c r="C143" s="126" t="s">
        <v>128</v>
      </c>
      <c r="D143" s="126" t="s">
        <v>3</v>
      </c>
      <c r="E143" s="92">
        <v>25000000</v>
      </c>
      <c r="F143" s="64" t="s">
        <v>195</v>
      </c>
      <c r="I143" s="102"/>
    </row>
    <row r="144" spans="1:9" s="67" customFormat="1" x14ac:dyDescent="0.3">
      <c r="A144" s="7" t="s">
        <v>236</v>
      </c>
      <c r="B144" s="126" t="s">
        <v>239</v>
      </c>
      <c r="C144" s="126" t="s">
        <v>128</v>
      </c>
      <c r="D144" s="126" t="s">
        <v>3</v>
      </c>
      <c r="E144" s="92">
        <v>41000000</v>
      </c>
      <c r="F144" s="64" t="s">
        <v>195</v>
      </c>
      <c r="I144" s="102"/>
    </row>
    <row r="145" spans="1:11" s="67" customFormat="1" x14ac:dyDescent="0.3">
      <c r="A145" s="7" t="s">
        <v>237</v>
      </c>
      <c r="B145" s="126" t="s">
        <v>240</v>
      </c>
      <c r="C145" s="126" t="s">
        <v>128</v>
      </c>
      <c r="D145" s="126" t="s">
        <v>3</v>
      </c>
      <c r="E145" s="92">
        <v>10000000</v>
      </c>
      <c r="F145" s="64" t="s">
        <v>129</v>
      </c>
      <c r="I145" s="102"/>
    </row>
    <row r="146" spans="1:11" s="67" customFormat="1" x14ac:dyDescent="0.3">
      <c r="A146" s="7" t="s">
        <v>243</v>
      </c>
      <c r="B146" s="126" t="s">
        <v>244</v>
      </c>
      <c r="C146" s="126" t="s">
        <v>245</v>
      </c>
      <c r="D146" s="126" t="s">
        <v>3</v>
      </c>
      <c r="E146" s="92">
        <v>5000000</v>
      </c>
      <c r="F146" s="64" t="s">
        <v>131</v>
      </c>
      <c r="I146" s="102"/>
    </row>
    <row r="147" spans="1:11" s="67" customFormat="1" ht="14" thickBot="1" x14ac:dyDescent="0.35">
      <c r="A147" s="3" t="s">
        <v>238</v>
      </c>
      <c r="B147" s="165" t="s">
        <v>241</v>
      </c>
      <c r="C147" s="165" t="s">
        <v>128</v>
      </c>
      <c r="D147" s="128" t="s">
        <v>3</v>
      </c>
      <c r="E147" s="96">
        <v>45000000</v>
      </c>
      <c r="F147" s="66" t="s">
        <v>129</v>
      </c>
      <c r="I147" s="102"/>
    </row>
    <row r="148" spans="1:11" s="67" customFormat="1" ht="14" thickTop="1" x14ac:dyDescent="0.3">
      <c r="A148" s="5" t="s">
        <v>1</v>
      </c>
      <c r="B148" s="166"/>
      <c r="C148" s="166"/>
      <c r="D148" s="166"/>
      <c r="E148" s="103">
        <f>SUM(E139:E147)</f>
        <v>312271000</v>
      </c>
      <c r="F148" s="167"/>
      <c r="I148" s="102"/>
    </row>
    <row r="149" spans="1:11" s="67" customFormat="1" x14ac:dyDescent="0.3">
      <c r="A149" s="26"/>
      <c r="C149" s="104"/>
      <c r="D149" s="102"/>
      <c r="E149" s="102"/>
      <c r="F149" s="105"/>
      <c r="I149" s="102"/>
    </row>
    <row r="150" spans="1:11" x14ac:dyDescent="0.3">
      <c r="A150" s="67"/>
      <c r="B150" s="67"/>
      <c r="C150" s="67"/>
      <c r="D150" s="67"/>
      <c r="E150" s="67"/>
      <c r="F150" s="67"/>
      <c r="G150" s="67"/>
      <c r="H150" s="67"/>
      <c r="I150" s="67"/>
      <c r="J150" s="67"/>
      <c r="K150" s="67"/>
    </row>
    <row r="151" spans="1:11" x14ac:dyDescent="0.3">
      <c r="A151" s="164" t="s">
        <v>232</v>
      </c>
      <c r="B151" s="164"/>
      <c r="C151" s="164"/>
      <c r="D151" s="164"/>
      <c r="E151" s="164"/>
    </row>
    <row r="171" spans="1:1" x14ac:dyDescent="0.3">
      <c r="A171"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172"/>
  <sheetViews>
    <sheetView workbookViewId="0">
      <selection activeCell="A154" sqref="A154"/>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42277</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4856615340.3000002</v>
      </c>
      <c r="C7" s="121"/>
      <c r="D7" s="174"/>
      <c r="E7" s="119"/>
      <c r="F7" s="120"/>
      <c r="G7" s="55"/>
      <c r="H7" s="55"/>
      <c r="I7" s="67"/>
      <c r="J7" s="67"/>
      <c r="K7" s="67"/>
      <c r="L7" s="67"/>
      <c r="M7" s="67"/>
    </row>
    <row r="8" spans="1:13" x14ac:dyDescent="0.3">
      <c r="A8" s="56" t="s">
        <v>78</v>
      </c>
      <c r="B8" s="123">
        <v>1111353.6247826088</v>
      </c>
      <c r="C8" s="121"/>
      <c r="D8" s="175"/>
      <c r="E8" s="119"/>
      <c r="F8" s="120"/>
      <c r="G8" s="55"/>
      <c r="H8" s="55"/>
      <c r="I8" s="67"/>
      <c r="J8" s="67"/>
      <c r="K8" s="67"/>
      <c r="L8" s="67"/>
      <c r="M8" s="67"/>
    </row>
    <row r="9" spans="1:13" x14ac:dyDescent="0.3">
      <c r="A9" s="56" t="s">
        <v>73</v>
      </c>
      <c r="B9" s="123">
        <v>4370</v>
      </c>
      <c r="C9" s="121"/>
      <c r="D9" s="174"/>
      <c r="E9" s="119"/>
      <c r="F9" s="120"/>
      <c r="G9" s="55"/>
      <c r="H9" s="55"/>
      <c r="I9" s="67"/>
      <c r="J9" s="67"/>
      <c r="K9" s="67"/>
      <c r="L9" s="67"/>
      <c r="M9" s="67"/>
    </row>
    <row r="10" spans="1:13" ht="13.5" customHeight="1" x14ac:dyDescent="0.3">
      <c r="A10" s="56" t="s">
        <v>79</v>
      </c>
      <c r="B10" s="56">
        <v>9.8834263446186312E-3</v>
      </c>
      <c r="C10" s="121"/>
      <c r="D10" s="118"/>
      <c r="E10" s="119"/>
      <c r="F10" s="120"/>
      <c r="G10" s="55"/>
      <c r="H10" s="55"/>
      <c r="I10" s="67"/>
      <c r="J10" s="67"/>
      <c r="K10" s="67"/>
      <c r="L10" s="67"/>
      <c r="M10" s="67"/>
    </row>
    <row r="11" spans="1:13" x14ac:dyDescent="0.3">
      <c r="A11" s="56" t="s">
        <v>74</v>
      </c>
      <c r="B11" s="123">
        <v>44.409394235302415</v>
      </c>
      <c r="C11" s="121"/>
      <c r="D11" s="118"/>
      <c r="E11" s="119"/>
      <c r="F11" s="120"/>
      <c r="G11" s="55"/>
      <c r="H11" s="55"/>
      <c r="I11" s="67"/>
      <c r="J11" s="67"/>
      <c r="K11" s="67"/>
      <c r="L11" s="67"/>
      <c r="M11" s="67"/>
    </row>
    <row r="12" spans="1:13" x14ac:dyDescent="0.3">
      <c r="A12" s="56" t="s">
        <v>81</v>
      </c>
      <c r="B12" s="123">
        <v>165</v>
      </c>
      <c r="C12" s="121"/>
      <c r="D12" s="118"/>
      <c r="E12" s="119"/>
      <c r="F12" s="120"/>
      <c r="G12" s="55"/>
      <c r="H12" s="55"/>
      <c r="I12" s="67"/>
      <c r="J12" s="67"/>
      <c r="K12" s="67"/>
      <c r="L12" s="67"/>
      <c r="M12" s="67"/>
    </row>
    <row r="13" spans="1:13" x14ac:dyDescent="0.3">
      <c r="A13" s="56" t="s">
        <v>75</v>
      </c>
      <c r="B13" s="123">
        <v>4222</v>
      </c>
      <c r="C13" s="121"/>
      <c r="D13" s="118"/>
      <c r="E13" s="119"/>
      <c r="F13" s="120"/>
      <c r="G13" s="55"/>
      <c r="H13" s="55"/>
      <c r="I13" s="295"/>
      <c r="J13" s="295"/>
      <c r="K13" s="67"/>
      <c r="L13" s="67"/>
      <c r="M13" s="67"/>
    </row>
    <row r="14" spans="1:13" x14ac:dyDescent="0.3">
      <c r="A14" s="56" t="s">
        <v>196</v>
      </c>
      <c r="B14" s="56">
        <v>0.50371015611674608</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f>SUM(B84:B86)/B7</f>
        <v>0</v>
      </c>
      <c r="C17" s="121"/>
      <c r="D17" s="118"/>
      <c r="E17" s="119"/>
      <c r="F17" s="120"/>
      <c r="G17" s="55"/>
      <c r="H17" s="55"/>
      <c r="I17" s="295"/>
      <c r="J17" s="295"/>
      <c r="K17" s="67"/>
      <c r="L17" s="67"/>
      <c r="M17" s="67"/>
    </row>
    <row r="18" spans="1:13" x14ac:dyDescent="0.3">
      <c r="A18" s="56" t="s">
        <v>49</v>
      </c>
      <c r="B18" s="123">
        <f>E149</f>
        <v>564863000</v>
      </c>
      <c r="C18" s="121"/>
      <c r="D18" s="331"/>
      <c r="E18" s="332"/>
      <c r="F18" s="321"/>
      <c r="G18" s="306"/>
      <c r="H18" s="297"/>
      <c r="I18" s="297"/>
      <c r="J18" s="167"/>
      <c r="K18" s="67"/>
      <c r="L18" s="67"/>
      <c r="M18" s="67"/>
    </row>
    <row r="19" spans="1:13" x14ac:dyDescent="0.3">
      <c r="A19" s="57" t="s">
        <v>80</v>
      </c>
      <c r="B19" s="58">
        <v>5465520000</v>
      </c>
      <c r="C19" s="59"/>
      <c r="D19" s="311" t="s">
        <v>234</v>
      </c>
      <c r="E19" s="318" t="s">
        <v>235</v>
      </c>
      <c r="F19" s="321"/>
      <c r="G19" s="307"/>
      <c r="H19" s="297"/>
      <c r="I19" s="297"/>
      <c r="J19" s="167"/>
      <c r="K19" s="67"/>
      <c r="L19" s="67"/>
      <c r="M19" s="67"/>
    </row>
    <row r="20" spans="1:13" x14ac:dyDescent="0.3">
      <c r="A20" s="305" t="s">
        <v>197</v>
      </c>
      <c r="B20" s="310">
        <f>($B$19-D20)/E20-1</f>
        <v>0.17535197221347643</v>
      </c>
      <c r="C20" s="59"/>
      <c r="D20" s="312">
        <v>26500000</v>
      </c>
      <c r="E20" s="318">
        <v>4627567000</v>
      </c>
      <c r="F20" s="321"/>
      <c r="G20" s="307"/>
      <c r="H20" s="297"/>
      <c r="I20" s="297"/>
      <c r="J20" s="167"/>
      <c r="K20" s="67"/>
      <c r="L20" s="67"/>
      <c r="M20" s="67"/>
    </row>
    <row r="21" spans="1:13" x14ac:dyDescent="0.3">
      <c r="A21" s="305" t="s">
        <v>198</v>
      </c>
      <c r="B21" s="310">
        <f>($B$19-D21)/E20-1</f>
        <v>0.14189564294803225</v>
      </c>
      <c r="C21" s="59"/>
      <c r="D21" s="318">
        <v>181321405.24990314</v>
      </c>
      <c r="E21" s="318"/>
      <c r="F21" s="321"/>
      <c r="G21" s="307"/>
      <c r="H21" s="297"/>
      <c r="I21" s="297"/>
      <c r="J21" s="167"/>
      <c r="K21" s="67"/>
      <c r="L21" s="67"/>
      <c r="M21" s="67"/>
    </row>
    <row r="22" spans="1:13" x14ac:dyDescent="0.3">
      <c r="A22" s="305" t="s">
        <v>233</v>
      </c>
      <c r="B22" s="310">
        <f>($B$19-D22)/E20-1</f>
        <v>8.6278957520034671E-2</v>
      </c>
      <c r="C22" s="59"/>
      <c r="D22" s="318">
        <v>438691343.38588619</v>
      </c>
      <c r="E22" s="318"/>
      <c r="F22" s="321"/>
      <c r="G22" s="307"/>
      <c r="H22" s="297"/>
      <c r="I22" s="297"/>
      <c r="J22" s="167"/>
      <c r="K22" s="67"/>
      <c r="L22" s="67"/>
      <c r="M22" s="67"/>
    </row>
    <row r="23" spans="1:13" s="54" customFormat="1" x14ac:dyDescent="0.3">
      <c r="A23" s="59"/>
      <c r="B23" s="60"/>
      <c r="C23" s="59"/>
      <c r="D23" s="325"/>
      <c r="E23" s="326"/>
      <c r="F23" s="321"/>
      <c r="G23" s="306"/>
      <c r="H23" s="297"/>
      <c r="I23" s="297"/>
      <c r="J23" s="167"/>
      <c r="K23" s="55"/>
      <c r="L23" s="55"/>
      <c r="M23" s="55"/>
    </row>
    <row r="24" spans="1:13" x14ac:dyDescent="0.3">
      <c r="D24" s="324"/>
      <c r="E24" s="324"/>
      <c r="F24" s="321"/>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1351108141.9100003</v>
      </c>
      <c r="C28" s="129">
        <v>2104</v>
      </c>
      <c r="D28" s="64">
        <f t="shared" ref="D28:D37" si="0">B28/$B$40</f>
        <v>0.27819953758712546</v>
      </c>
      <c r="E28" s="173"/>
      <c r="F28" s="186"/>
      <c r="G28" s="186"/>
      <c r="H28" s="297"/>
      <c r="I28" s="298"/>
      <c r="J28" s="167"/>
      <c r="K28" s="67"/>
      <c r="L28" s="67"/>
      <c r="M28" s="67"/>
    </row>
    <row r="29" spans="1:13" ht="14.5" x14ac:dyDescent="0.35">
      <c r="A29" s="6" t="s">
        <v>7</v>
      </c>
      <c r="B29" s="126">
        <v>797408080.48000026</v>
      </c>
      <c r="C29" s="129">
        <v>615</v>
      </c>
      <c r="D29" s="64">
        <f t="shared" si="0"/>
        <v>0.16419008395891263</v>
      </c>
      <c r="E29" s="173"/>
      <c r="F29" s="116"/>
      <c r="G29" s="116"/>
      <c r="H29" s="116"/>
      <c r="I29" s="116"/>
      <c r="J29" s="167"/>
      <c r="K29" s="67"/>
      <c r="L29" s="67"/>
      <c r="M29" s="67"/>
    </row>
    <row r="30" spans="1:13" ht="14.5" x14ac:dyDescent="0.35">
      <c r="A30" s="6" t="s">
        <v>8</v>
      </c>
      <c r="B30" s="126">
        <v>1015809180.11</v>
      </c>
      <c r="C30" s="129">
        <v>677</v>
      </c>
      <c r="D30" s="64">
        <f t="shared" si="0"/>
        <v>0.20915990024592968</v>
      </c>
      <c r="E30" s="173"/>
      <c r="F30" s="59"/>
      <c r="G30" s="59"/>
      <c r="H30" s="59"/>
      <c r="I30" s="59"/>
      <c r="J30" s="167"/>
      <c r="K30" s="67"/>
      <c r="L30" s="67"/>
      <c r="M30" s="67"/>
    </row>
    <row r="31" spans="1:13" ht="14.5" x14ac:dyDescent="0.35">
      <c r="A31" s="6" t="s">
        <v>9</v>
      </c>
      <c r="B31" s="126">
        <v>1107981087.9100003</v>
      </c>
      <c r="C31" s="129">
        <v>681</v>
      </c>
      <c r="D31" s="64">
        <f t="shared" si="0"/>
        <v>0.22813853069976889</v>
      </c>
      <c r="E31" s="173"/>
      <c r="F31" s="316"/>
      <c r="G31" s="317"/>
      <c r="H31" s="317"/>
      <c r="I31" s="176"/>
      <c r="J31" s="167"/>
      <c r="K31" s="67"/>
      <c r="L31" s="67"/>
      <c r="M31" s="67"/>
    </row>
    <row r="32" spans="1:13" ht="14.5" x14ac:dyDescent="0.35">
      <c r="A32" s="6" t="s">
        <v>140</v>
      </c>
      <c r="B32" s="126">
        <v>520473840.56000006</v>
      </c>
      <c r="C32" s="129">
        <v>263</v>
      </c>
      <c r="D32" s="64">
        <f t="shared" si="0"/>
        <v>0.1071680180724071</v>
      </c>
      <c r="E32" s="173"/>
      <c r="F32" s="304"/>
      <c r="G32" s="297"/>
      <c r="H32" s="297"/>
      <c r="I32" s="121"/>
      <c r="J32" s="167"/>
      <c r="K32" s="67"/>
      <c r="L32" s="67"/>
      <c r="M32" s="67"/>
    </row>
    <row r="33" spans="1:13" ht="14.5" x14ac:dyDescent="0.35">
      <c r="A33" s="6" t="s">
        <v>141</v>
      </c>
      <c r="B33" s="126">
        <v>27032638.210000001</v>
      </c>
      <c r="C33" s="129">
        <v>14</v>
      </c>
      <c r="D33" s="64">
        <f t="shared" si="0"/>
        <v>5.566147680192879E-3</v>
      </c>
      <c r="E33" s="173"/>
      <c r="F33" s="304"/>
      <c r="G33" s="297"/>
      <c r="H33" s="297"/>
      <c r="I33" s="121"/>
      <c r="J33" s="303"/>
      <c r="K33" s="67"/>
      <c r="L33" s="67"/>
      <c r="M33" s="67"/>
    </row>
    <row r="34" spans="1:13" ht="14.5" x14ac:dyDescent="0.35">
      <c r="A34" s="6" t="s">
        <v>10</v>
      </c>
      <c r="B34" s="126">
        <v>12665571.469999999</v>
      </c>
      <c r="C34" s="129">
        <v>5</v>
      </c>
      <c r="D34" s="64">
        <f t="shared" si="0"/>
        <v>2.6079008903385019E-3</v>
      </c>
      <c r="E34" s="173"/>
      <c r="F34" s="304"/>
      <c r="G34" s="297"/>
      <c r="H34" s="297"/>
      <c r="I34" s="121"/>
      <c r="J34" s="295"/>
      <c r="K34" s="67"/>
      <c r="L34" s="67"/>
      <c r="M34" s="67"/>
    </row>
    <row r="35" spans="1:13" ht="14.5" x14ac:dyDescent="0.35">
      <c r="A35" s="6" t="s">
        <v>11</v>
      </c>
      <c r="B35" s="134">
        <v>0</v>
      </c>
      <c r="C35" s="135">
        <v>0</v>
      </c>
      <c r="D35" s="64">
        <f t="shared" si="0"/>
        <v>0</v>
      </c>
      <c r="E35" s="173"/>
      <c r="F35" s="304"/>
      <c r="G35" s="297"/>
      <c r="H35" s="297"/>
      <c r="I35" s="121"/>
      <c r="J35" s="67"/>
      <c r="K35" s="67"/>
      <c r="L35" s="67"/>
      <c r="M35" s="67"/>
    </row>
    <row r="36" spans="1:13" ht="14.5" x14ac:dyDescent="0.35">
      <c r="A36" s="6" t="s">
        <v>12</v>
      </c>
      <c r="B36" s="130">
        <v>0</v>
      </c>
      <c r="C36" s="131">
        <v>0</v>
      </c>
      <c r="D36" s="64">
        <f t="shared" si="0"/>
        <v>0</v>
      </c>
      <c r="E36" s="173"/>
      <c r="F36" s="304"/>
      <c r="G36" s="297"/>
      <c r="H36" s="297"/>
      <c r="I36" s="121"/>
      <c r="J36" s="67"/>
      <c r="K36" s="67"/>
      <c r="L36" s="67"/>
      <c r="M36" s="67"/>
    </row>
    <row r="37" spans="1:13" ht="14.5" x14ac:dyDescent="0.35">
      <c r="A37" s="6" t="s">
        <v>13</v>
      </c>
      <c r="B37" s="130">
        <v>1769380</v>
      </c>
      <c r="C37" s="131">
        <v>1</v>
      </c>
      <c r="D37" s="64">
        <f t="shared" si="0"/>
        <v>3.6432368553419397E-4</v>
      </c>
      <c r="E37" s="173"/>
      <c r="F37" s="304"/>
      <c r="G37" s="297"/>
      <c r="H37" s="297"/>
      <c r="I37" s="121"/>
      <c r="J37" s="67"/>
      <c r="K37" s="67"/>
      <c r="L37" s="67"/>
      <c r="M37" s="67"/>
    </row>
    <row r="38" spans="1:13" ht="14.5" x14ac:dyDescent="0.35">
      <c r="A38" s="6" t="s">
        <v>14</v>
      </c>
      <c r="B38" s="130">
        <v>2341523</v>
      </c>
      <c r="C38" s="131">
        <v>2</v>
      </c>
      <c r="D38" s="64">
        <f>B38/$B$40</f>
        <v>4.8213062718188427E-4</v>
      </c>
      <c r="E38" s="173"/>
      <c r="F38" s="304"/>
      <c r="G38" s="297"/>
      <c r="H38" s="297"/>
      <c r="I38" s="121"/>
      <c r="J38" s="67"/>
      <c r="K38" s="67"/>
      <c r="L38" s="67"/>
      <c r="M38" s="67"/>
    </row>
    <row r="39" spans="1:13" ht="15" thickBot="1" x14ac:dyDescent="0.4">
      <c r="A39" s="4" t="s">
        <v>15</v>
      </c>
      <c r="B39" s="132">
        <v>20025896.649999999</v>
      </c>
      <c r="C39" s="287">
        <v>8</v>
      </c>
      <c r="D39" s="65">
        <f>B39/$B$40</f>
        <v>4.123426552608749E-3</v>
      </c>
      <c r="E39" s="173"/>
      <c r="F39" s="304"/>
      <c r="G39" s="298"/>
      <c r="H39" s="298"/>
      <c r="I39" s="121"/>
      <c r="J39" s="67"/>
      <c r="K39" s="67"/>
      <c r="L39" s="67"/>
      <c r="M39" s="67"/>
    </row>
    <row r="40" spans="1:13" ht="15" thickTop="1" x14ac:dyDescent="0.35">
      <c r="A40" s="1" t="s">
        <v>1</v>
      </c>
      <c r="B40" s="18">
        <f>SUM(B28:B39)</f>
        <v>4856615340.3000011</v>
      </c>
      <c r="C40" s="133">
        <f>SUM(C28:C39)</f>
        <v>4370</v>
      </c>
      <c r="D40" s="300">
        <f>SUM(D28:D39)</f>
        <v>0.99999999999999989</v>
      </c>
      <c r="E40" s="173"/>
      <c r="F40" s="304"/>
      <c r="G40" s="299"/>
      <c r="H40" s="299"/>
      <c r="I40" s="121"/>
    </row>
    <row r="41" spans="1:13" x14ac:dyDescent="0.3">
      <c r="F41" s="304"/>
      <c r="G41" s="299"/>
      <c r="H41" s="299"/>
      <c r="I41" s="121"/>
    </row>
    <row r="42" spans="1:13" x14ac:dyDescent="0.3">
      <c r="F42" s="304"/>
      <c r="G42" s="299"/>
      <c r="H42" s="299"/>
      <c r="I42" s="121"/>
    </row>
    <row r="43" spans="1:13" x14ac:dyDescent="0.3">
      <c r="A43" s="163" t="s">
        <v>218</v>
      </c>
      <c r="B43" s="164"/>
      <c r="C43" s="163"/>
      <c r="D43" s="164"/>
      <c r="F43" s="304"/>
      <c r="G43" s="299"/>
      <c r="H43" s="299"/>
      <c r="I43" s="121"/>
    </row>
    <row r="44" spans="1:13" x14ac:dyDescent="0.3">
      <c r="A44" s="106"/>
      <c r="B44" s="106"/>
      <c r="C44" s="106"/>
      <c r="D44" s="106"/>
      <c r="F44" s="304"/>
      <c r="G44" s="301"/>
      <c r="H44" s="302"/>
      <c r="I44" s="303"/>
    </row>
    <row r="45" spans="1:13" x14ac:dyDescent="0.3">
      <c r="A45" s="9" t="s">
        <v>219</v>
      </c>
      <c r="B45" s="10" t="s">
        <v>4</v>
      </c>
      <c r="C45" s="10" t="s">
        <v>5</v>
      </c>
      <c r="D45" s="63" t="s">
        <v>17</v>
      </c>
    </row>
    <row r="46" spans="1:13" x14ac:dyDescent="0.3">
      <c r="A46" s="6" t="s">
        <v>220</v>
      </c>
      <c r="B46" s="126">
        <v>188636933.38000005</v>
      </c>
      <c r="C46" s="129">
        <v>1311</v>
      </c>
      <c r="D46" s="64">
        <f>B46/$B$40</f>
        <v>3.8841234102832536E-2</v>
      </c>
      <c r="E46" s="279"/>
    </row>
    <row r="47" spans="1:13" x14ac:dyDescent="0.3">
      <c r="A47" s="6" t="s">
        <v>221</v>
      </c>
      <c r="B47" s="126">
        <v>668647427.28000009</v>
      </c>
      <c r="C47" s="129">
        <v>895</v>
      </c>
      <c r="D47" s="64">
        <f t="shared" ref="D47:D49" si="1">B47/$B$40</f>
        <v>0.13767765829251297</v>
      </c>
      <c r="E47" s="279"/>
    </row>
    <row r="48" spans="1:13" x14ac:dyDescent="0.3">
      <c r="A48" s="6" t="s">
        <v>222</v>
      </c>
      <c r="B48" s="126">
        <v>2119287004.2399995</v>
      </c>
      <c r="C48" s="129">
        <v>1475</v>
      </c>
      <c r="D48" s="64">
        <f t="shared" si="1"/>
        <v>0.43637118769819799</v>
      </c>
      <c r="E48" s="279"/>
    </row>
    <row r="49" spans="1:14" x14ac:dyDescent="0.3">
      <c r="A49" s="6" t="s">
        <v>223</v>
      </c>
      <c r="B49" s="126">
        <v>1225558356.0399997</v>
      </c>
      <c r="C49" s="129">
        <v>512</v>
      </c>
      <c r="D49" s="64">
        <f t="shared" si="1"/>
        <v>0.252348244644859</v>
      </c>
      <c r="E49" s="279"/>
    </row>
    <row r="50" spans="1:14" ht="14" thickBot="1" x14ac:dyDescent="0.35">
      <c r="A50" s="4" t="s">
        <v>224</v>
      </c>
      <c r="B50" s="132">
        <v>654485619.36000001</v>
      </c>
      <c r="C50" s="287">
        <v>177</v>
      </c>
      <c r="D50" s="65">
        <f>B50/$B$40</f>
        <v>0.13476167526159719</v>
      </c>
      <c r="E50" s="279"/>
    </row>
    <row r="51" spans="1:14" ht="14" thickTop="1" x14ac:dyDescent="0.3">
      <c r="A51" s="1" t="s">
        <v>1</v>
      </c>
      <c r="B51" s="18">
        <f>SUM(B46:B50)</f>
        <v>4856615340.2999992</v>
      </c>
      <c r="C51" s="133">
        <f>SUM(C46:C50)</f>
        <v>4370</v>
      </c>
      <c r="D51" s="300">
        <f>SUM(D46:D50)</f>
        <v>0.99999999999999978</v>
      </c>
    </row>
    <row r="54" spans="1:14" x14ac:dyDescent="0.3">
      <c r="A54" s="164" t="s">
        <v>225</v>
      </c>
      <c r="B54" s="164"/>
      <c r="C54" s="164"/>
      <c r="D54" s="293"/>
      <c r="E54" s="293"/>
      <c r="F54" s="293"/>
      <c r="G54" s="293"/>
      <c r="H54" s="293"/>
      <c r="I54" s="293"/>
      <c r="J54" s="293"/>
      <c r="K54" s="164"/>
      <c r="L54" s="164"/>
      <c r="M54" s="164"/>
      <c r="N54" s="164"/>
    </row>
    <row r="55" spans="1:14" s="68" customFormat="1" x14ac:dyDescent="0.3">
      <c r="A55" s="107"/>
      <c r="B55" s="155" t="s">
        <v>1</v>
      </c>
      <c r="C55" s="158" t="s">
        <v>18</v>
      </c>
      <c r="D55" s="281" t="s">
        <v>19</v>
      </c>
      <c r="E55" s="281" t="s">
        <v>20</v>
      </c>
      <c r="F55" s="281" t="s">
        <v>21</v>
      </c>
      <c r="G55" s="281" t="s">
        <v>138</v>
      </c>
      <c r="H55" s="281" t="s">
        <v>139</v>
      </c>
      <c r="I55" s="281" t="s">
        <v>22</v>
      </c>
      <c r="J55" s="281" t="s">
        <v>23</v>
      </c>
      <c r="K55" s="313" t="s">
        <v>24</v>
      </c>
      <c r="L55" s="281" t="s">
        <v>25</v>
      </c>
      <c r="M55" s="159" t="s">
        <v>26</v>
      </c>
      <c r="N55" s="160" t="s">
        <v>27</v>
      </c>
    </row>
    <row r="56" spans="1:14" x14ac:dyDescent="0.3">
      <c r="A56" s="153" t="s">
        <v>28</v>
      </c>
      <c r="B56" s="288">
        <f t="shared" ref="B56:B74" si="2">SUM(C56:N56)</f>
        <v>170236687.06999999</v>
      </c>
      <c r="C56" s="87">
        <v>47264172.389999993</v>
      </c>
      <c r="D56" s="87">
        <v>43803225.620000005</v>
      </c>
      <c r="E56" s="87">
        <v>22687400</v>
      </c>
      <c r="F56" s="87">
        <v>38415843.060000002</v>
      </c>
      <c r="G56" s="87">
        <v>18066046</v>
      </c>
      <c r="H56" s="87">
        <v>0</v>
      </c>
      <c r="I56" s="87">
        <v>0</v>
      </c>
      <c r="J56" s="328">
        <v>0</v>
      </c>
      <c r="K56" s="330">
        <v>0</v>
      </c>
      <c r="L56" s="291">
        <v>0</v>
      </c>
      <c r="M56" s="291">
        <v>0</v>
      </c>
      <c r="N56" s="161">
        <v>0</v>
      </c>
    </row>
    <row r="57" spans="1:14" x14ac:dyDescent="0.3">
      <c r="A57" s="154" t="s">
        <v>29</v>
      </c>
      <c r="B57" s="282">
        <f>SUM(C57:N57)</f>
        <v>181649916.28</v>
      </c>
      <c r="C57" s="92">
        <v>37861860.689999998</v>
      </c>
      <c r="D57" s="92">
        <v>28286374.079999998</v>
      </c>
      <c r="E57" s="92">
        <v>46702832.079999998</v>
      </c>
      <c r="F57" s="92">
        <v>56143836.579999998</v>
      </c>
      <c r="G57" s="92">
        <v>10389558.51</v>
      </c>
      <c r="H57" s="92">
        <v>0</v>
      </c>
      <c r="I57" s="92">
        <v>2265454.34</v>
      </c>
      <c r="J57" s="329">
        <v>0</v>
      </c>
      <c r="K57" s="330">
        <v>0</v>
      </c>
      <c r="L57" s="283">
        <v>0</v>
      </c>
      <c r="M57" s="283">
        <v>0</v>
      </c>
      <c r="N57" s="162">
        <v>0</v>
      </c>
    </row>
    <row r="58" spans="1:14" x14ac:dyDescent="0.3">
      <c r="A58" s="154" t="s">
        <v>30</v>
      </c>
      <c r="B58" s="282">
        <f t="shared" si="2"/>
        <v>29242300.009999998</v>
      </c>
      <c r="C58" s="92">
        <v>3326003</v>
      </c>
      <c r="D58" s="92">
        <v>5032441.7300000004</v>
      </c>
      <c r="E58" s="92">
        <v>11629527.279999999</v>
      </c>
      <c r="F58" s="92">
        <v>5541240</v>
      </c>
      <c r="G58" s="92">
        <v>3713088</v>
      </c>
      <c r="H58" s="92">
        <v>0</v>
      </c>
      <c r="I58" s="92">
        <v>0</v>
      </c>
      <c r="J58" s="329">
        <v>0</v>
      </c>
      <c r="K58" s="330">
        <v>0</v>
      </c>
      <c r="L58" s="283">
        <v>0</v>
      </c>
      <c r="M58" s="283">
        <v>0</v>
      </c>
      <c r="N58" s="162">
        <v>0</v>
      </c>
    </row>
    <row r="59" spans="1:14" x14ac:dyDescent="0.3">
      <c r="A59" s="154" t="s">
        <v>31</v>
      </c>
      <c r="B59" s="282">
        <f t="shared" si="2"/>
        <v>4589018</v>
      </c>
      <c r="C59" s="92">
        <v>0</v>
      </c>
      <c r="D59" s="92">
        <v>0</v>
      </c>
      <c r="E59" s="92">
        <v>1788964</v>
      </c>
      <c r="F59" s="92">
        <v>549395</v>
      </c>
      <c r="G59" s="92">
        <v>2250659</v>
      </c>
      <c r="H59" s="92">
        <v>0</v>
      </c>
      <c r="I59" s="92">
        <v>0</v>
      </c>
      <c r="J59" s="329">
        <v>0</v>
      </c>
      <c r="K59" s="330">
        <v>0</v>
      </c>
      <c r="L59" s="283">
        <v>0</v>
      </c>
      <c r="M59" s="283">
        <v>0</v>
      </c>
      <c r="N59" s="162">
        <v>0</v>
      </c>
    </row>
    <row r="60" spans="1:14" x14ac:dyDescent="0.3">
      <c r="A60" s="154" t="s">
        <v>32</v>
      </c>
      <c r="B60" s="282">
        <f t="shared" si="2"/>
        <v>466918507.9000001</v>
      </c>
      <c r="C60" s="92">
        <v>113553749.30000003</v>
      </c>
      <c r="D60" s="92">
        <v>54692386.169999994</v>
      </c>
      <c r="E60" s="92">
        <v>124261221.15000002</v>
      </c>
      <c r="F60" s="92">
        <v>108539284.12</v>
      </c>
      <c r="G60" s="92">
        <v>49783882.089999996</v>
      </c>
      <c r="H60" s="92">
        <v>2507724.23</v>
      </c>
      <c r="I60" s="92">
        <v>4173915.3</v>
      </c>
      <c r="J60" s="329">
        <v>0</v>
      </c>
      <c r="K60" s="330">
        <v>0</v>
      </c>
      <c r="L60" s="283">
        <v>0</v>
      </c>
      <c r="M60" s="283">
        <v>0</v>
      </c>
      <c r="N60" s="162">
        <v>9406345.5399999991</v>
      </c>
    </row>
    <row r="61" spans="1:14" x14ac:dyDescent="0.3">
      <c r="A61" s="154" t="s">
        <v>143</v>
      </c>
      <c r="B61" s="282">
        <f t="shared" si="2"/>
        <v>8359923</v>
      </c>
      <c r="C61" s="92">
        <v>2206221</v>
      </c>
      <c r="D61" s="92">
        <v>1188944</v>
      </c>
      <c r="E61" s="92">
        <v>4225310</v>
      </c>
      <c r="F61" s="92">
        <v>0</v>
      </c>
      <c r="G61" s="92">
        <v>0</v>
      </c>
      <c r="H61" s="92">
        <v>0</v>
      </c>
      <c r="I61" s="92">
        <v>0</v>
      </c>
      <c r="J61" s="329">
        <v>0</v>
      </c>
      <c r="K61" s="329">
        <v>0</v>
      </c>
      <c r="L61" s="283">
        <v>0</v>
      </c>
      <c r="M61" s="283">
        <v>739448</v>
      </c>
      <c r="N61" s="162">
        <v>0</v>
      </c>
    </row>
    <row r="62" spans="1:14" x14ac:dyDescent="0.3">
      <c r="A62" s="154" t="s">
        <v>33</v>
      </c>
      <c r="B62" s="282">
        <f t="shared" si="2"/>
        <v>967024.62</v>
      </c>
      <c r="C62" s="92">
        <v>967024.62</v>
      </c>
      <c r="D62" s="92">
        <v>0</v>
      </c>
      <c r="E62" s="92">
        <v>0</v>
      </c>
      <c r="F62" s="92">
        <v>0</v>
      </c>
      <c r="G62" s="92">
        <v>0</v>
      </c>
      <c r="H62" s="92">
        <v>0</v>
      </c>
      <c r="I62" s="92">
        <v>0</v>
      </c>
      <c r="J62" s="329">
        <v>0</v>
      </c>
      <c r="K62" s="330">
        <v>0</v>
      </c>
      <c r="L62" s="283">
        <v>0</v>
      </c>
      <c r="M62" s="283">
        <v>0</v>
      </c>
      <c r="N62" s="162">
        <v>0</v>
      </c>
    </row>
    <row r="63" spans="1:14" x14ac:dyDescent="0.3">
      <c r="A63" s="154" t="s">
        <v>205</v>
      </c>
      <c r="B63" s="282">
        <f t="shared" si="2"/>
        <v>715479</v>
      </c>
      <c r="C63" s="92">
        <v>0</v>
      </c>
      <c r="D63" s="92">
        <v>0</v>
      </c>
      <c r="E63" s="92">
        <v>715479</v>
      </c>
      <c r="F63" s="92">
        <v>0</v>
      </c>
      <c r="G63" s="92">
        <v>0</v>
      </c>
      <c r="H63" s="92">
        <v>0</v>
      </c>
      <c r="I63" s="92">
        <v>0</v>
      </c>
      <c r="J63" s="329">
        <v>0</v>
      </c>
      <c r="K63" s="330">
        <v>0</v>
      </c>
      <c r="L63" s="283">
        <v>0</v>
      </c>
      <c r="M63" s="283">
        <v>0</v>
      </c>
      <c r="N63" s="162">
        <v>0</v>
      </c>
    </row>
    <row r="64" spans="1:14" x14ac:dyDescent="0.3">
      <c r="A64" s="154" t="s">
        <v>34</v>
      </c>
      <c r="B64" s="282">
        <f t="shared" si="2"/>
        <v>8784268.5999999996</v>
      </c>
      <c r="C64" s="92">
        <v>3643499</v>
      </c>
      <c r="D64" s="92">
        <v>0</v>
      </c>
      <c r="E64" s="92">
        <v>3902403</v>
      </c>
      <c r="F64" s="92">
        <v>1238366.6000000001</v>
      </c>
      <c r="G64" s="92">
        <v>0</v>
      </c>
      <c r="H64" s="92">
        <v>0</v>
      </c>
      <c r="I64" s="92">
        <v>0</v>
      </c>
      <c r="J64" s="329">
        <v>0</v>
      </c>
      <c r="K64" s="330">
        <v>0</v>
      </c>
      <c r="L64" s="283">
        <v>0</v>
      </c>
      <c r="M64" s="283">
        <v>0</v>
      </c>
      <c r="N64" s="162">
        <v>0</v>
      </c>
    </row>
    <row r="65" spans="1:14" x14ac:dyDescent="0.3">
      <c r="A65" s="154" t="s">
        <v>35</v>
      </c>
      <c r="B65" s="282">
        <f t="shared" si="2"/>
        <v>141959728.68000001</v>
      </c>
      <c r="C65" s="92">
        <v>47283828.139999993</v>
      </c>
      <c r="D65" s="92">
        <v>30130090.140000001</v>
      </c>
      <c r="E65" s="92">
        <v>27312459.399999999</v>
      </c>
      <c r="F65" s="92">
        <v>29754091</v>
      </c>
      <c r="G65" s="92">
        <v>7479260</v>
      </c>
      <c r="H65" s="92">
        <v>0</v>
      </c>
      <c r="I65" s="92">
        <v>0</v>
      </c>
      <c r="J65" s="329">
        <v>0</v>
      </c>
      <c r="K65" s="330">
        <v>0</v>
      </c>
      <c r="L65" s="283">
        <v>0</v>
      </c>
      <c r="M65" s="283">
        <v>0</v>
      </c>
      <c r="N65" s="162">
        <v>0</v>
      </c>
    </row>
    <row r="66" spans="1:14" x14ac:dyDescent="0.3">
      <c r="A66" s="154" t="s">
        <v>36</v>
      </c>
      <c r="B66" s="282">
        <f t="shared" si="2"/>
        <v>2360964195.1599998</v>
      </c>
      <c r="C66" s="92">
        <v>639297663.36999989</v>
      </c>
      <c r="D66" s="92">
        <v>376407236.79000002</v>
      </c>
      <c r="E66" s="92">
        <v>474224726.15999985</v>
      </c>
      <c r="F66" s="92">
        <v>540015086.54999995</v>
      </c>
      <c r="G66" s="92">
        <v>298564384.72000003</v>
      </c>
      <c r="H66" s="92">
        <v>19339135.98</v>
      </c>
      <c r="I66" s="92">
        <v>3859344.83</v>
      </c>
      <c r="J66" s="329">
        <v>0</v>
      </c>
      <c r="K66" s="330">
        <v>0</v>
      </c>
      <c r="L66" s="283">
        <v>1769380</v>
      </c>
      <c r="M66" s="283">
        <v>1602075</v>
      </c>
      <c r="N66" s="162">
        <v>5885161.7599999998</v>
      </c>
    </row>
    <row r="67" spans="1:14" x14ac:dyDescent="0.3">
      <c r="A67" s="154" t="s">
        <v>37</v>
      </c>
      <c r="B67" s="282">
        <f t="shared" si="2"/>
        <v>152954633.63999999</v>
      </c>
      <c r="C67" s="92">
        <v>47869369.640000008</v>
      </c>
      <c r="D67" s="92">
        <v>36526687.269999996</v>
      </c>
      <c r="E67" s="92">
        <v>38689086.340000004</v>
      </c>
      <c r="F67" s="92">
        <v>28532994.329999998</v>
      </c>
      <c r="G67" s="92">
        <v>1336496.06</v>
      </c>
      <c r="H67" s="92">
        <v>0</v>
      </c>
      <c r="I67" s="92">
        <v>0</v>
      </c>
      <c r="J67" s="329">
        <v>0</v>
      </c>
      <c r="K67" s="330">
        <v>0</v>
      </c>
      <c r="L67" s="283">
        <v>0</v>
      </c>
      <c r="M67" s="283">
        <v>0</v>
      </c>
      <c r="N67" s="162">
        <v>0</v>
      </c>
    </row>
    <row r="68" spans="1:14" x14ac:dyDescent="0.3">
      <c r="A68" s="154" t="s">
        <v>144</v>
      </c>
      <c r="B68" s="282">
        <f t="shared" si="2"/>
        <v>10685794.199999999</v>
      </c>
      <c r="C68" s="92">
        <v>0</v>
      </c>
      <c r="D68" s="92">
        <v>2574675</v>
      </c>
      <c r="E68" s="92">
        <v>3083086.2</v>
      </c>
      <c r="F68" s="92">
        <v>5028033</v>
      </c>
      <c r="G68" s="92">
        <v>0</v>
      </c>
      <c r="H68" s="92">
        <v>0</v>
      </c>
      <c r="I68" s="92">
        <v>0</v>
      </c>
      <c r="J68" s="329">
        <v>0</v>
      </c>
      <c r="K68" s="330">
        <v>0</v>
      </c>
      <c r="L68" s="283">
        <v>0</v>
      </c>
      <c r="M68" s="283">
        <v>0</v>
      </c>
      <c r="N68" s="162">
        <v>0</v>
      </c>
    </row>
    <row r="69" spans="1:14" x14ac:dyDescent="0.3">
      <c r="A69" s="154" t="s">
        <v>38</v>
      </c>
      <c r="B69" s="282">
        <f t="shared" si="2"/>
        <v>15942647.719999999</v>
      </c>
      <c r="C69" s="92">
        <v>6700993.2699999996</v>
      </c>
      <c r="D69" s="92">
        <v>761938.09</v>
      </c>
      <c r="E69" s="92">
        <v>4107758.01</v>
      </c>
      <c r="F69" s="92">
        <v>1001110</v>
      </c>
      <c r="G69" s="92">
        <v>0</v>
      </c>
      <c r="H69" s="92">
        <v>0</v>
      </c>
      <c r="I69" s="92">
        <v>0</v>
      </c>
      <c r="J69" s="329">
        <v>0</v>
      </c>
      <c r="K69" s="330">
        <v>0</v>
      </c>
      <c r="L69" s="283">
        <v>0</v>
      </c>
      <c r="M69" s="283">
        <v>0</v>
      </c>
      <c r="N69" s="162">
        <v>3370848.35</v>
      </c>
    </row>
    <row r="70" spans="1:14" x14ac:dyDescent="0.3">
      <c r="A70" s="154" t="s">
        <v>39</v>
      </c>
      <c r="B70" s="282">
        <f t="shared" si="2"/>
        <v>5164607.2300000004</v>
      </c>
      <c r="C70" s="92">
        <v>1583364.23</v>
      </c>
      <c r="D70" s="92">
        <v>0</v>
      </c>
      <c r="E70" s="92">
        <v>3581243</v>
      </c>
      <c r="F70" s="92">
        <v>0</v>
      </c>
      <c r="G70" s="92">
        <v>0</v>
      </c>
      <c r="H70" s="92">
        <v>0</v>
      </c>
      <c r="I70" s="92">
        <v>0</v>
      </c>
      <c r="J70" s="329">
        <v>0</v>
      </c>
      <c r="K70" s="330">
        <v>0</v>
      </c>
      <c r="L70" s="283">
        <v>0</v>
      </c>
      <c r="M70" s="283">
        <v>0</v>
      </c>
      <c r="N70" s="162">
        <v>0</v>
      </c>
    </row>
    <row r="71" spans="1:14" x14ac:dyDescent="0.3">
      <c r="A71" s="154" t="s">
        <v>40</v>
      </c>
      <c r="B71" s="282">
        <f t="shared" si="2"/>
        <v>1261237061.9100001</v>
      </c>
      <c r="C71" s="92">
        <v>388380546.80000001</v>
      </c>
      <c r="D71" s="92">
        <v>214791717.77999997</v>
      </c>
      <c r="E71" s="92">
        <v>236323269.47999999</v>
      </c>
      <c r="F71" s="92">
        <v>287969863.67000002</v>
      </c>
      <c r="G71" s="92">
        <v>124855488.17999999</v>
      </c>
      <c r="H71" s="92">
        <v>5185778</v>
      </c>
      <c r="I71" s="92">
        <v>2366857</v>
      </c>
      <c r="J71" s="329">
        <v>0</v>
      </c>
      <c r="K71" s="329">
        <v>0</v>
      </c>
      <c r="L71" s="283">
        <v>0</v>
      </c>
      <c r="M71" s="283">
        <v>0</v>
      </c>
      <c r="N71" s="162">
        <v>1363541</v>
      </c>
    </row>
    <row r="72" spans="1:14" x14ac:dyDescent="0.3">
      <c r="A72" s="154" t="s">
        <v>41</v>
      </c>
      <c r="B72" s="282">
        <f t="shared" si="2"/>
        <v>22210903.289999999</v>
      </c>
      <c r="C72" s="92">
        <v>6703643.4699999997</v>
      </c>
      <c r="D72" s="92">
        <v>1673363.81</v>
      </c>
      <c r="E72" s="92">
        <v>6994018.0099999998</v>
      </c>
      <c r="F72" s="92">
        <v>2804900</v>
      </c>
      <c r="G72" s="92">
        <v>4034978</v>
      </c>
      <c r="H72" s="92">
        <v>0</v>
      </c>
      <c r="I72" s="92">
        <v>0</v>
      </c>
      <c r="J72" s="329">
        <v>0</v>
      </c>
      <c r="K72" s="330">
        <v>0</v>
      </c>
      <c r="L72" s="283">
        <v>0</v>
      </c>
      <c r="M72" s="283">
        <v>0</v>
      </c>
      <c r="N72" s="162">
        <v>0</v>
      </c>
    </row>
    <row r="73" spans="1:14" x14ac:dyDescent="0.3">
      <c r="A73" s="154" t="s">
        <v>145</v>
      </c>
      <c r="B73" s="282">
        <f t="shared" si="2"/>
        <v>12386968.120000001</v>
      </c>
      <c r="C73" s="92">
        <v>2820527.12</v>
      </c>
      <c r="D73" s="92">
        <v>1539000</v>
      </c>
      <c r="E73" s="92">
        <v>5580397</v>
      </c>
      <c r="F73" s="92">
        <v>2447044</v>
      </c>
      <c r="G73" s="92">
        <v>0</v>
      </c>
      <c r="H73" s="92">
        <v>0</v>
      </c>
      <c r="I73" s="92">
        <v>0</v>
      </c>
      <c r="J73" s="329">
        <v>0</v>
      </c>
      <c r="K73" s="330">
        <v>0</v>
      </c>
      <c r="L73" s="283">
        <v>0</v>
      </c>
      <c r="M73" s="283">
        <v>0</v>
      </c>
      <c r="N73" s="162">
        <v>0</v>
      </c>
    </row>
    <row r="74" spans="1:14" ht="14" thickBot="1" x14ac:dyDescent="0.35">
      <c r="A74" s="154" t="s">
        <v>165</v>
      </c>
      <c r="B74" s="289">
        <f t="shared" si="2"/>
        <v>1645675.87</v>
      </c>
      <c r="C74" s="96">
        <v>1645675.87</v>
      </c>
      <c r="D74" s="168">
        <v>0</v>
      </c>
      <c r="E74" s="168">
        <v>0</v>
      </c>
      <c r="F74" s="168">
        <v>0</v>
      </c>
      <c r="G74" s="168">
        <v>0</v>
      </c>
      <c r="H74" s="168">
        <v>0</v>
      </c>
      <c r="I74" s="168">
        <v>0</v>
      </c>
      <c r="J74" s="327">
        <v>0</v>
      </c>
      <c r="K74" s="327">
        <v>0</v>
      </c>
      <c r="L74" s="292">
        <v>0</v>
      </c>
      <c r="M74" s="292">
        <v>0</v>
      </c>
      <c r="N74" s="168">
        <v>0</v>
      </c>
    </row>
    <row r="75" spans="1:14" ht="14" thickTop="1" x14ac:dyDescent="0.3">
      <c r="A75" s="45" t="s">
        <v>1</v>
      </c>
      <c r="B75" s="20">
        <f>SUM(C75:N75)</f>
        <v>4856615340.3000002</v>
      </c>
      <c r="C75" s="20">
        <f t="shared" ref="C75:N75" si="3">SUM(C56:C74)</f>
        <v>1351108141.9099996</v>
      </c>
      <c r="D75" s="20">
        <f t="shared" si="3"/>
        <v>797408080.4799999</v>
      </c>
      <c r="E75" s="20">
        <f t="shared" si="3"/>
        <v>1015809180.11</v>
      </c>
      <c r="F75" s="20">
        <f t="shared" si="3"/>
        <v>1107981087.9100001</v>
      </c>
      <c r="G75" s="20">
        <f t="shared" si="3"/>
        <v>520473840.56000006</v>
      </c>
      <c r="H75" s="20">
        <f t="shared" si="3"/>
        <v>27032638.210000001</v>
      </c>
      <c r="I75" s="24">
        <f t="shared" si="3"/>
        <v>12665571.469999999</v>
      </c>
      <c r="J75" s="24">
        <f t="shared" si="3"/>
        <v>0</v>
      </c>
      <c r="K75" s="24">
        <f t="shared" si="3"/>
        <v>0</v>
      </c>
      <c r="L75" s="24">
        <f t="shared" si="3"/>
        <v>1769380</v>
      </c>
      <c r="M75" s="24">
        <f t="shared" si="3"/>
        <v>2341523</v>
      </c>
      <c r="N75" s="24">
        <f t="shared" si="3"/>
        <v>20025896.649999999</v>
      </c>
    </row>
    <row r="76" spans="1:14" x14ac:dyDescent="0.3">
      <c r="A76" s="37"/>
      <c r="B76" s="38"/>
      <c r="C76" s="38"/>
      <c r="D76" s="38"/>
      <c r="E76" s="38"/>
      <c r="F76" s="38"/>
      <c r="G76" s="38"/>
      <c r="H76" s="38"/>
      <c r="I76" s="39"/>
      <c r="J76" s="39"/>
      <c r="K76" s="39"/>
      <c r="L76" s="39"/>
      <c r="M76" s="39"/>
      <c r="N76" s="39"/>
    </row>
    <row r="77" spans="1:14" x14ac:dyDescent="0.3">
      <c r="A77" s="37"/>
      <c r="B77" s="38"/>
      <c r="C77" s="38"/>
      <c r="D77" s="38"/>
      <c r="E77" s="38"/>
      <c r="F77" s="38"/>
      <c r="G77" s="38"/>
      <c r="H77" s="38"/>
      <c r="I77" s="39"/>
      <c r="J77" s="39"/>
      <c r="K77" s="39"/>
      <c r="L77" s="39"/>
      <c r="M77" s="39"/>
      <c r="N77" s="39"/>
    </row>
    <row r="79" spans="1:14" x14ac:dyDescent="0.3">
      <c r="A79" s="164" t="s">
        <v>226</v>
      </c>
      <c r="B79" s="164"/>
      <c r="C79" s="164"/>
      <c r="D79" s="164"/>
      <c r="E79" s="164"/>
      <c r="F79" s="164"/>
      <c r="G79" s="164"/>
      <c r="H79" s="164"/>
      <c r="I79" s="164"/>
      <c r="J79" s="164"/>
      <c r="K79" s="164"/>
      <c r="L79" s="164"/>
      <c r="M79" s="164"/>
      <c r="N79" s="164"/>
    </row>
    <row r="80" spans="1:14"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row>
    <row r="81" spans="1:16" x14ac:dyDescent="0.3">
      <c r="A81" s="12"/>
      <c r="B81" s="11"/>
      <c r="C81" s="13"/>
      <c r="D81" s="13"/>
      <c r="E81" s="17"/>
      <c r="F81" s="13"/>
      <c r="G81" s="13"/>
      <c r="H81" s="13"/>
      <c r="I81" s="13"/>
      <c r="J81" s="13"/>
      <c r="K81" s="13"/>
      <c r="L81" s="13"/>
      <c r="M81" s="13"/>
      <c r="N81" s="13"/>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row>
    <row r="83" spans="1:16" x14ac:dyDescent="0.3">
      <c r="A83" s="41" t="s">
        <v>182</v>
      </c>
      <c r="B83" s="71">
        <f>SUM(C83:N83)</f>
        <v>4856615340.3000002</v>
      </c>
      <c r="C83" s="137">
        <v>1351108141.9099996</v>
      </c>
      <c r="D83" s="33">
        <v>797408080.4799999</v>
      </c>
      <c r="E83" s="137">
        <v>1015809180.11</v>
      </c>
      <c r="F83" s="137">
        <v>1107981087.9100001</v>
      </c>
      <c r="G83" s="137">
        <v>520473840.56000006</v>
      </c>
      <c r="H83" s="137">
        <v>27032638.210000001</v>
      </c>
      <c r="I83" s="50">
        <v>12665571.469999999</v>
      </c>
      <c r="J83" s="50">
        <v>0</v>
      </c>
      <c r="K83" s="50">
        <v>0</v>
      </c>
      <c r="L83" s="50">
        <v>1769380</v>
      </c>
      <c r="M83" s="50">
        <v>2341523</v>
      </c>
      <c r="N83" s="50">
        <v>20025896.649999999</v>
      </c>
    </row>
    <row r="84" spans="1:16" x14ac:dyDescent="0.3">
      <c r="A84" s="49" t="s">
        <v>183</v>
      </c>
      <c r="B84" s="75">
        <f t="shared" ref="B84:B86" si="4">SUM(C84:N84)</f>
        <v>0</v>
      </c>
      <c r="C84" s="33"/>
      <c r="D84" s="33">
        <v>0</v>
      </c>
      <c r="E84" s="33"/>
      <c r="F84" s="33"/>
      <c r="G84" s="33"/>
      <c r="H84" s="33"/>
      <c r="I84" s="27"/>
      <c r="J84" s="27"/>
      <c r="K84" s="27"/>
      <c r="L84" s="27"/>
      <c r="M84" s="27"/>
      <c r="N84" s="27"/>
      <c r="O84" s="70"/>
    </row>
    <row r="85" spans="1:16" x14ac:dyDescent="0.3">
      <c r="A85" s="42" t="s">
        <v>184</v>
      </c>
      <c r="B85" s="75">
        <f t="shared" si="4"/>
        <v>0</v>
      </c>
      <c r="C85" s="31"/>
      <c r="D85" s="31"/>
      <c r="E85" s="32"/>
      <c r="F85" s="33"/>
      <c r="G85" s="33"/>
      <c r="H85" s="33"/>
      <c r="I85" s="27"/>
      <c r="J85" s="27"/>
      <c r="K85" s="27"/>
      <c r="L85" s="27"/>
      <c r="M85" s="27"/>
      <c r="N85" s="28"/>
    </row>
    <row r="86" spans="1:16" ht="14" thickBot="1" x14ac:dyDescent="0.35">
      <c r="A86" s="42" t="s">
        <v>185</v>
      </c>
      <c r="B86" s="75">
        <f t="shared" si="4"/>
        <v>0</v>
      </c>
      <c r="C86" s="31"/>
      <c r="D86" s="31"/>
      <c r="E86" s="32"/>
      <c r="F86" s="33"/>
      <c r="G86" s="33"/>
      <c r="H86" s="33"/>
      <c r="I86" s="27"/>
      <c r="J86" s="27"/>
      <c r="K86" s="27"/>
      <c r="L86" s="27"/>
      <c r="M86" s="27"/>
      <c r="N86" s="28"/>
    </row>
    <row r="87" spans="1:16" ht="14" thickTop="1" x14ac:dyDescent="0.3">
      <c r="A87" s="44" t="s">
        <v>1</v>
      </c>
      <c r="B87" s="22">
        <f t="shared" ref="B87:N87" si="5">SUM(B83:B86)</f>
        <v>4856615340.3000002</v>
      </c>
      <c r="C87" s="22">
        <f t="shared" si="5"/>
        <v>1351108141.9099996</v>
      </c>
      <c r="D87" s="22">
        <f t="shared" si="5"/>
        <v>797408080.4799999</v>
      </c>
      <c r="E87" s="22">
        <f t="shared" si="5"/>
        <v>1015809180.11</v>
      </c>
      <c r="F87" s="22">
        <f t="shared" si="5"/>
        <v>1107981087.9100001</v>
      </c>
      <c r="G87" s="22">
        <f t="shared" si="5"/>
        <v>520473840.56000006</v>
      </c>
      <c r="H87" s="22">
        <f t="shared" si="5"/>
        <v>27032638.210000001</v>
      </c>
      <c r="I87" s="22">
        <f t="shared" si="5"/>
        <v>12665571.469999999</v>
      </c>
      <c r="J87" s="22">
        <f t="shared" si="5"/>
        <v>0</v>
      </c>
      <c r="K87" s="22">
        <f t="shared" si="5"/>
        <v>0</v>
      </c>
      <c r="L87" s="22">
        <f t="shared" si="5"/>
        <v>1769380</v>
      </c>
      <c r="M87" s="22">
        <f t="shared" si="5"/>
        <v>2341523</v>
      </c>
      <c r="N87" s="23">
        <f t="shared" si="5"/>
        <v>20025896.649999999</v>
      </c>
    </row>
    <row r="88" spans="1:16" x14ac:dyDescent="0.3">
      <c r="A88" s="26"/>
      <c r="B88" s="40"/>
      <c r="C88" s="40"/>
      <c r="D88" s="40"/>
      <c r="E88" s="40"/>
      <c r="F88" s="40"/>
      <c r="G88" s="40"/>
      <c r="H88" s="40"/>
      <c r="I88" s="40"/>
      <c r="J88" s="40"/>
      <c r="K88" s="40"/>
      <c r="L88" s="40"/>
      <c r="M88" s="40"/>
      <c r="N88" s="40"/>
    </row>
    <row r="90" spans="1:16" x14ac:dyDescent="0.3">
      <c r="A90" s="164" t="s">
        <v>227</v>
      </c>
      <c r="B90" s="164"/>
      <c r="C90" s="164"/>
      <c r="D90" s="164"/>
      <c r="E90" s="164"/>
      <c r="F90" s="164"/>
      <c r="G90" s="164"/>
      <c r="H90" s="164"/>
      <c r="I90" s="164"/>
      <c r="J90" s="164"/>
      <c r="K90" s="164"/>
      <c r="L90" s="164"/>
      <c r="M90" s="164"/>
      <c r="N90" s="16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row>
    <row r="92" spans="1:16" x14ac:dyDescent="0.3">
      <c r="A92" s="46"/>
      <c r="B92" s="11"/>
      <c r="C92" s="13"/>
      <c r="D92" s="13"/>
      <c r="E92" s="17"/>
      <c r="F92" s="13"/>
      <c r="G92" s="13"/>
      <c r="H92" s="13"/>
      <c r="I92" s="13"/>
      <c r="J92" s="13"/>
      <c r="K92" s="13"/>
      <c r="L92" s="13"/>
      <c r="M92" s="13"/>
      <c r="N92" s="13"/>
      <c r="O92" s="69"/>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row>
    <row r="94" spans="1:16" x14ac:dyDescent="0.3">
      <c r="A94" s="42" t="s">
        <v>62</v>
      </c>
      <c r="B94" s="71">
        <f>SUM(C94:N94)</f>
        <v>283454716</v>
      </c>
      <c r="C94" s="72">
        <v>70015604.090000004</v>
      </c>
      <c r="D94" s="73">
        <v>39886557.740000002</v>
      </c>
      <c r="E94" s="73">
        <v>58757907.699999996</v>
      </c>
      <c r="F94" s="73">
        <v>69236262.469999999</v>
      </c>
      <c r="G94" s="73">
        <v>44818936</v>
      </c>
      <c r="H94" s="78">
        <v>0</v>
      </c>
      <c r="I94" s="74">
        <v>0</v>
      </c>
      <c r="J94" s="75">
        <v>0</v>
      </c>
      <c r="K94" s="71">
        <v>0</v>
      </c>
      <c r="L94" s="76">
        <v>0</v>
      </c>
      <c r="M94" s="76">
        <v>739448</v>
      </c>
      <c r="N94" s="71">
        <v>0</v>
      </c>
    </row>
    <row r="95" spans="1:16" x14ac:dyDescent="0.3">
      <c r="A95" s="42" t="s">
        <v>63</v>
      </c>
      <c r="B95" s="75">
        <f t="shared" ref="B95:B98" si="6">SUM(C95:N95)</f>
        <v>989506752.82000005</v>
      </c>
      <c r="C95" s="77">
        <v>141641707.06999999</v>
      </c>
      <c r="D95" s="78">
        <v>137649735.94</v>
      </c>
      <c r="E95" s="78">
        <v>198913356.97999999</v>
      </c>
      <c r="F95" s="78">
        <v>304418791.82999998</v>
      </c>
      <c r="G95" s="78">
        <v>191768133.42000002</v>
      </c>
      <c r="H95" s="78">
        <v>8525000</v>
      </c>
      <c r="I95" s="74">
        <v>2366857</v>
      </c>
      <c r="J95" s="75">
        <v>0</v>
      </c>
      <c r="K95" s="75">
        <v>0</v>
      </c>
      <c r="L95" s="74">
        <v>1769380</v>
      </c>
      <c r="M95" s="74">
        <v>0</v>
      </c>
      <c r="N95" s="75">
        <v>2453790.58</v>
      </c>
    </row>
    <row r="96" spans="1:16" x14ac:dyDescent="0.3">
      <c r="A96" s="42" t="s">
        <v>64</v>
      </c>
      <c r="B96" s="75">
        <f t="shared" si="6"/>
        <v>938648471.3499999</v>
      </c>
      <c r="C96" s="77">
        <v>225239514.13999996</v>
      </c>
      <c r="D96" s="78">
        <v>145384208.31</v>
      </c>
      <c r="E96" s="78">
        <v>206189007.04999998</v>
      </c>
      <c r="F96" s="78">
        <v>223799711.22999999</v>
      </c>
      <c r="G96" s="78">
        <v>130289005.27000001</v>
      </c>
      <c r="H96" s="78">
        <v>0</v>
      </c>
      <c r="I96" s="74">
        <v>0</v>
      </c>
      <c r="J96" s="75">
        <v>0</v>
      </c>
      <c r="K96" s="75">
        <v>0</v>
      </c>
      <c r="L96" s="74">
        <v>0</v>
      </c>
      <c r="M96" s="74">
        <v>0</v>
      </c>
      <c r="N96" s="75">
        <v>7747025.3499999996</v>
      </c>
    </row>
    <row r="97" spans="1:15" x14ac:dyDescent="0.3">
      <c r="A97" s="42" t="s">
        <v>65</v>
      </c>
      <c r="B97" s="75">
        <f t="shared" si="6"/>
        <v>1392773904.3600004</v>
      </c>
      <c r="C97" s="77">
        <v>390041978.3500002</v>
      </c>
      <c r="D97" s="78">
        <v>231601445.68999994</v>
      </c>
      <c r="E97" s="78">
        <v>287535099.36000007</v>
      </c>
      <c r="F97" s="78">
        <v>348972938.56</v>
      </c>
      <c r="G97" s="78">
        <v>113106680.72999999</v>
      </c>
      <c r="H97" s="78">
        <v>15714683.670000002</v>
      </c>
      <c r="I97" s="74">
        <v>1500000</v>
      </c>
      <c r="J97" s="75">
        <v>0</v>
      </c>
      <c r="K97" s="75">
        <v>0</v>
      </c>
      <c r="L97" s="74">
        <v>0</v>
      </c>
      <c r="M97" s="74">
        <v>1602075</v>
      </c>
      <c r="N97" s="75">
        <v>2699003</v>
      </c>
    </row>
    <row r="98" spans="1:15" ht="14" thickBot="1" x14ac:dyDescent="0.35">
      <c r="A98" s="43" t="s">
        <v>66</v>
      </c>
      <c r="B98" s="79">
        <f t="shared" si="6"/>
        <v>1252231495.7699997</v>
      </c>
      <c r="C98" s="80">
        <v>524169338.25999981</v>
      </c>
      <c r="D98" s="80">
        <v>242886132.79999992</v>
      </c>
      <c r="E98" s="80">
        <v>264413809.01999992</v>
      </c>
      <c r="F98" s="80">
        <v>161553383.82000002</v>
      </c>
      <c r="G98" s="80">
        <v>40491085.140000001</v>
      </c>
      <c r="H98" s="80">
        <v>2792954.54</v>
      </c>
      <c r="I98" s="81">
        <v>8798714.4699999988</v>
      </c>
      <c r="J98" s="79">
        <v>0</v>
      </c>
      <c r="K98" s="79">
        <v>0</v>
      </c>
      <c r="L98" s="81">
        <v>0</v>
      </c>
      <c r="M98" s="81">
        <v>0</v>
      </c>
      <c r="N98" s="79">
        <v>7126077.7199999997</v>
      </c>
    </row>
    <row r="99" spans="1:15" ht="14" thickTop="1" x14ac:dyDescent="0.3">
      <c r="A99" s="42" t="s">
        <v>1</v>
      </c>
      <c r="B99" s="82">
        <f>SUM(B94:B98)</f>
        <v>4856615340.3000002</v>
      </c>
      <c r="C99" s="82">
        <f>SUM(C94:C98)</f>
        <v>1351108141.9099998</v>
      </c>
      <c r="D99" s="82">
        <f t="shared" ref="D99:N99" si="7">SUM(D94:D98)</f>
        <v>797408080.4799999</v>
      </c>
      <c r="E99" s="82">
        <f t="shared" si="7"/>
        <v>1015809180.1099999</v>
      </c>
      <c r="F99" s="82">
        <f t="shared" si="7"/>
        <v>1107981087.9099998</v>
      </c>
      <c r="G99" s="82">
        <f t="shared" si="7"/>
        <v>520473840.56000006</v>
      </c>
      <c r="H99" s="82">
        <f t="shared" si="7"/>
        <v>27032638.210000001</v>
      </c>
      <c r="I99" s="82">
        <f t="shared" si="7"/>
        <v>12665571.469999999</v>
      </c>
      <c r="J99" s="82">
        <f t="shared" si="7"/>
        <v>0</v>
      </c>
      <c r="K99" s="82">
        <f t="shared" si="7"/>
        <v>0</v>
      </c>
      <c r="L99" s="82">
        <f t="shared" si="7"/>
        <v>1769380</v>
      </c>
      <c r="M99" s="82">
        <f t="shared" si="7"/>
        <v>2341523</v>
      </c>
      <c r="N99" s="82">
        <f t="shared" si="7"/>
        <v>20025896.649999999</v>
      </c>
      <c r="O99" s="70"/>
    </row>
    <row r="100" spans="1:15" x14ac:dyDescent="0.3">
      <c r="A100" s="26"/>
      <c r="B100" s="83"/>
      <c r="C100" s="83"/>
      <c r="D100" s="83"/>
      <c r="E100" s="83"/>
      <c r="F100" s="83"/>
      <c r="G100" s="83"/>
      <c r="H100" s="83"/>
      <c r="I100" s="83"/>
      <c r="J100" s="83"/>
      <c r="K100" s="83"/>
      <c r="L100" s="83"/>
      <c r="M100" s="83"/>
      <c r="N100" s="83"/>
      <c r="O100" s="67"/>
    </row>
    <row r="101" spans="1:15" x14ac:dyDescent="0.3">
      <c r="A101" s="67"/>
    </row>
    <row r="102" spans="1:15" x14ac:dyDescent="0.3">
      <c r="A102" s="164" t="s">
        <v>228</v>
      </c>
      <c r="B102" s="164"/>
      <c r="C102" s="164"/>
      <c r="D102" s="164"/>
      <c r="E102" s="164"/>
      <c r="F102" s="164"/>
      <c r="G102" s="164"/>
      <c r="H102" s="164"/>
      <c r="I102" s="164"/>
      <c r="J102" s="164"/>
      <c r="K102" s="164"/>
      <c r="L102" s="164"/>
      <c r="M102" s="164"/>
      <c r="N102" s="164"/>
    </row>
    <row r="103" spans="1:15" x14ac:dyDescent="0.3">
      <c r="A103" s="108"/>
      <c r="B103" s="109"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row>
    <row r="104" spans="1:15" x14ac:dyDescent="0.3">
      <c r="A104" s="46"/>
      <c r="B104" s="11"/>
      <c r="C104" s="13"/>
      <c r="D104" s="13"/>
      <c r="E104" s="17"/>
      <c r="F104" s="13"/>
      <c r="G104" s="13"/>
      <c r="H104" s="13"/>
      <c r="I104" s="13"/>
      <c r="J104" s="13"/>
      <c r="K104" s="13"/>
      <c r="L104" s="13"/>
      <c r="M104" s="13"/>
      <c r="N104" s="13"/>
    </row>
    <row r="105" spans="1:15" ht="27" x14ac:dyDescent="0.3">
      <c r="A105" s="47"/>
      <c r="B105" s="25" t="s">
        <v>4</v>
      </c>
      <c r="C105" s="15" t="s">
        <v>4</v>
      </c>
      <c r="D105" s="15" t="s">
        <v>4</v>
      </c>
      <c r="E105" s="14" t="s">
        <v>4</v>
      </c>
      <c r="F105" s="15" t="s">
        <v>4</v>
      </c>
      <c r="G105" s="15" t="s">
        <v>4</v>
      </c>
      <c r="H105" s="15" t="s">
        <v>4</v>
      </c>
      <c r="I105" s="15" t="s">
        <v>4</v>
      </c>
      <c r="J105" s="15" t="s">
        <v>4</v>
      </c>
      <c r="K105" s="15" t="s">
        <v>4</v>
      </c>
      <c r="L105" s="15" t="s">
        <v>4</v>
      </c>
      <c r="M105" s="15" t="s">
        <v>4</v>
      </c>
      <c r="N105" s="15" t="s">
        <v>4</v>
      </c>
    </row>
    <row r="106" spans="1:15" x14ac:dyDescent="0.3">
      <c r="A106" s="42" t="s">
        <v>201</v>
      </c>
      <c r="B106" s="140">
        <f t="shared" ref="B106:B109" si="8">SUM(C106:N106)</f>
        <v>4835363435.3000011</v>
      </c>
      <c r="C106" s="138">
        <v>1340258503.9100003</v>
      </c>
      <c r="D106" s="85">
        <v>791781123.48000026</v>
      </c>
      <c r="E106" s="85">
        <v>1014233870.11</v>
      </c>
      <c r="F106" s="85">
        <v>1107981087.9100003</v>
      </c>
      <c r="G106" s="85">
        <v>517273840.56000006</v>
      </c>
      <c r="H106" s="85">
        <v>27032638.210000001</v>
      </c>
      <c r="I106" s="86">
        <v>12665571.469999999</v>
      </c>
      <c r="J106" s="86">
        <v>0</v>
      </c>
      <c r="K106" s="86">
        <v>0</v>
      </c>
      <c r="L106" s="86">
        <v>1769380</v>
      </c>
      <c r="M106" s="86">
        <v>2341523</v>
      </c>
      <c r="N106" s="87">
        <v>20025896.649999999</v>
      </c>
    </row>
    <row r="107" spans="1:15" x14ac:dyDescent="0.3">
      <c r="A107" s="42" t="s">
        <v>202</v>
      </c>
      <c r="B107" s="88">
        <f t="shared" si="8"/>
        <v>20231905</v>
      </c>
      <c r="C107" s="89">
        <v>9829638</v>
      </c>
      <c r="D107" s="90">
        <v>5626957</v>
      </c>
      <c r="E107" s="90">
        <v>1575310</v>
      </c>
      <c r="F107" s="90">
        <v>0</v>
      </c>
      <c r="G107" s="90">
        <v>3200000</v>
      </c>
      <c r="H107" s="90">
        <v>0</v>
      </c>
      <c r="I107" s="91">
        <v>0</v>
      </c>
      <c r="J107" s="91">
        <v>0</v>
      </c>
      <c r="K107" s="91">
        <v>0</v>
      </c>
      <c r="L107" s="91">
        <v>0</v>
      </c>
      <c r="M107" s="91">
        <v>0</v>
      </c>
      <c r="N107" s="92">
        <v>0</v>
      </c>
    </row>
    <row r="108" spans="1:15" x14ac:dyDescent="0.3">
      <c r="A108" s="42" t="s">
        <v>58</v>
      </c>
      <c r="B108" s="88">
        <f t="shared" si="8"/>
        <v>1020000</v>
      </c>
      <c r="C108" s="89">
        <v>1020000</v>
      </c>
      <c r="D108" s="90">
        <v>0</v>
      </c>
      <c r="E108" s="90">
        <v>0</v>
      </c>
      <c r="F108" s="90">
        <v>0</v>
      </c>
      <c r="G108" s="90">
        <v>0</v>
      </c>
      <c r="H108" s="90">
        <v>0</v>
      </c>
      <c r="I108" s="91">
        <v>0</v>
      </c>
      <c r="J108" s="91">
        <v>0</v>
      </c>
      <c r="K108" s="91">
        <v>0</v>
      </c>
      <c r="L108" s="91">
        <v>0</v>
      </c>
      <c r="M108" s="91">
        <v>0</v>
      </c>
      <c r="N108" s="92">
        <v>0</v>
      </c>
    </row>
    <row r="109" spans="1:15" ht="14" thickBot="1" x14ac:dyDescent="0.35">
      <c r="A109" s="43" t="s">
        <v>203</v>
      </c>
      <c r="B109" s="148">
        <f t="shared" si="8"/>
        <v>0</v>
      </c>
      <c r="C109" s="89">
        <v>0</v>
      </c>
      <c r="D109" s="90">
        <v>0</v>
      </c>
      <c r="E109" s="90">
        <v>0</v>
      </c>
      <c r="F109" s="90">
        <v>0</v>
      </c>
      <c r="G109" s="90">
        <v>0</v>
      </c>
      <c r="H109" s="90">
        <v>0</v>
      </c>
      <c r="I109" s="91">
        <v>0</v>
      </c>
      <c r="J109" s="91">
        <v>0</v>
      </c>
      <c r="K109" s="91">
        <v>0</v>
      </c>
      <c r="L109" s="91">
        <v>0</v>
      </c>
      <c r="M109" s="91">
        <v>0</v>
      </c>
      <c r="N109" s="96">
        <v>0</v>
      </c>
    </row>
    <row r="110" spans="1:15" ht="14" thickTop="1" x14ac:dyDescent="0.3">
      <c r="A110" s="42" t="s">
        <v>1</v>
      </c>
      <c r="B110" s="139">
        <f>SUM(B106:B109)</f>
        <v>4856615340.3000011</v>
      </c>
      <c r="C110" s="97">
        <f t="shared" ref="C110:N110" si="9">SUM(C106:C109)</f>
        <v>1351108141.9100003</v>
      </c>
      <c r="D110" s="97">
        <f t="shared" si="9"/>
        <v>797408080.48000026</v>
      </c>
      <c r="E110" s="97">
        <f t="shared" si="9"/>
        <v>1015809180.11</v>
      </c>
      <c r="F110" s="97">
        <f t="shared" si="9"/>
        <v>1107981087.9100003</v>
      </c>
      <c r="G110" s="97">
        <f t="shared" si="9"/>
        <v>520473840.56000006</v>
      </c>
      <c r="H110" s="97">
        <f t="shared" si="9"/>
        <v>27032638.210000001</v>
      </c>
      <c r="I110" s="97">
        <f t="shared" si="9"/>
        <v>12665571.469999999</v>
      </c>
      <c r="J110" s="97">
        <f t="shared" si="9"/>
        <v>0</v>
      </c>
      <c r="K110" s="97">
        <f t="shared" si="9"/>
        <v>0</v>
      </c>
      <c r="L110" s="97">
        <f t="shared" si="9"/>
        <v>1769380</v>
      </c>
      <c r="M110" s="97">
        <f t="shared" si="9"/>
        <v>2341523</v>
      </c>
      <c r="N110" s="98">
        <f t="shared" si="9"/>
        <v>20025896.649999999</v>
      </c>
    </row>
    <row r="111" spans="1:15" x14ac:dyDescent="0.3">
      <c r="A111" s="26"/>
      <c r="B111" s="99"/>
      <c r="C111" s="99"/>
      <c r="D111" s="99"/>
      <c r="E111" s="99"/>
      <c r="F111" s="99"/>
      <c r="G111" s="99"/>
      <c r="H111" s="99"/>
      <c r="I111" s="99"/>
      <c r="J111" s="99"/>
      <c r="K111" s="99"/>
      <c r="L111" s="99"/>
      <c r="M111" s="99"/>
      <c r="N111" s="99"/>
    </row>
    <row r="113" spans="1:15" x14ac:dyDescent="0.3">
      <c r="A113" s="164" t="s">
        <v>229</v>
      </c>
      <c r="B113" s="164"/>
      <c r="C113" s="164"/>
      <c r="D113" s="164"/>
      <c r="E113" s="164"/>
      <c r="F113" s="164"/>
      <c r="G113" s="164"/>
      <c r="H113" s="164"/>
      <c r="I113" s="164"/>
      <c r="J113" s="164"/>
      <c r="K113" s="164"/>
      <c r="L113" s="164"/>
      <c r="M113" s="164"/>
      <c r="N113" s="16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row>
    <row r="115" spans="1:15" x14ac:dyDescent="0.3">
      <c r="A115" s="48"/>
      <c r="B115" s="11"/>
      <c r="C115" s="13"/>
      <c r="D115" s="13"/>
      <c r="E115" s="17"/>
      <c r="F115" s="13"/>
      <c r="G115" s="13"/>
      <c r="H115" s="13"/>
      <c r="I115" s="13"/>
      <c r="J115" s="13"/>
      <c r="K115" s="13"/>
      <c r="L115" s="13"/>
      <c r="M115" s="13"/>
      <c r="N115" s="13"/>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row>
    <row r="117" spans="1:15" x14ac:dyDescent="0.3">
      <c r="A117" s="42" t="s">
        <v>57</v>
      </c>
      <c r="B117" s="137">
        <f>SUM(C117:N117)</f>
        <v>4856615340.3000002</v>
      </c>
      <c r="C117" s="137">
        <v>1351108141.9099998</v>
      </c>
      <c r="D117" s="137">
        <v>797408080.4799999</v>
      </c>
      <c r="E117" s="137">
        <v>1015809180.1099999</v>
      </c>
      <c r="F117" s="137">
        <v>1107981087.9099998</v>
      </c>
      <c r="G117" s="137">
        <v>520473840.56000006</v>
      </c>
      <c r="H117" s="137">
        <v>27032638.210000001</v>
      </c>
      <c r="I117" s="50">
        <v>12665571.469999999</v>
      </c>
      <c r="J117" s="50">
        <v>0</v>
      </c>
      <c r="K117" s="50">
        <v>0</v>
      </c>
      <c r="L117" s="50">
        <v>1769380</v>
      </c>
      <c r="M117" s="50">
        <v>2341523</v>
      </c>
      <c r="N117" s="50">
        <v>20025896.649999999</v>
      </c>
      <c r="O117" s="70"/>
    </row>
    <row r="118" spans="1:15" x14ac:dyDescent="0.3">
      <c r="A118" s="42" t="s">
        <v>67</v>
      </c>
      <c r="B118" s="100"/>
      <c r="C118" s="90"/>
      <c r="D118" s="90"/>
      <c r="E118" s="90"/>
      <c r="F118" s="90"/>
      <c r="G118" s="90"/>
      <c r="H118" s="90"/>
      <c r="I118" s="91"/>
      <c r="J118" s="91"/>
      <c r="K118" s="91"/>
      <c r="L118" s="91"/>
      <c r="M118" s="91"/>
      <c r="N118" s="91"/>
      <c r="O118" s="70"/>
    </row>
    <row r="119" spans="1:15" x14ac:dyDescent="0.3">
      <c r="A119" s="42" t="s">
        <v>68</v>
      </c>
      <c r="B119" s="100"/>
      <c r="C119" s="90"/>
      <c r="D119" s="90"/>
      <c r="E119" s="90"/>
      <c r="F119" s="90"/>
      <c r="G119" s="90"/>
      <c r="H119" s="90"/>
      <c r="I119" s="91"/>
      <c r="J119" s="91"/>
      <c r="K119" s="91"/>
      <c r="L119" s="91"/>
      <c r="M119" s="91"/>
      <c r="N119" s="91"/>
      <c r="O119" s="70"/>
    </row>
    <row r="120" spans="1:15" ht="14" thickBot="1" x14ac:dyDescent="0.35">
      <c r="A120" s="43" t="s">
        <v>69</v>
      </c>
      <c r="B120" s="93"/>
      <c r="C120" s="94"/>
      <c r="D120" s="94"/>
      <c r="E120" s="94"/>
      <c r="F120" s="94"/>
      <c r="G120" s="94"/>
      <c r="H120" s="94"/>
      <c r="I120" s="95"/>
      <c r="J120" s="95"/>
      <c r="K120" s="95"/>
      <c r="L120" s="95"/>
      <c r="M120" s="95"/>
      <c r="N120" s="95"/>
      <c r="O120" s="70"/>
    </row>
    <row r="121" spans="1:15" ht="14" thickTop="1" x14ac:dyDescent="0.3">
      <c r="A121" s="42" t="s">
        <v>1</v>
      </c>
      <c r="B121" s="97">
        <f>SUM(B117:B120)</f>
        <v>4856615340.3000002</v>
      </c>
      <c r="C121" s="97">
        <f>SUM(C117:C120)</f>
        <v>1351108141.9099998</v>
      </c>
      <c r="D121" s="97">
        <f t="shared" ref="D121:N121" si="10">SUM(D117:D120)</f>
        <v>797408080.4799999</v>
      </c>
      <c r="E121" s="97">
        <f t="shared" si="10"/>
        <v>1015809180.1099999</v>
      </c>
      <c r="F121" s="97">
        <f t="shared" si="10"/>
        <v>1107981087.9099998</v>
      </c>
      <c r="G121" s="97">
        <f t="shared" si="10"/>
        <v>520473840.56000006</v>
      </c>
      <c r="H121" s="97">
        <f t="shared" si="10"/>
        <v>27032638.210000001</v>
      </c>
      <c r="I121" s="97">
        <f t="shared" si="10"/>
        <v>12665571.469999999</v>
      </c>
      <c r="J121" s="97">
        <f t="shared" si="10"/>
        <v>0</v>
      </c>
      <c r="K121" s="97">
        <f t="shared" si="10"/>
        <v>0</v>
      </c>
      <c r="L121" s="97">
        <f t="shared" si="10"/>
        <v>1769380</v>
      </c>
      <c r="M121" s="97">
        <f t="shared" si="10"/>
        <v>2341523</v>
      </c>
      <c r="N121" s="97">
        <f t="shared" si="10"/>
        <v>20025896.649999999</v>
      </c>
      <c r="O121" s="70"/>
    </row>
    <row r="122" spans="1:15" x14ac:dyDescent="0.3">
      <c r="A122" s="26"/>
      <c r="B122" s="99"/>
      <c r="C122" s="99"/>
      <c r="D122" s="99"/>
      <c r="E122" s="99"/>
      <c r="F122" s="99"/>
      <c r="G122" s="99"/>
      <c r="H122" s="99"/>
      <c r="I122" s="99"/>
      <c r="J122" s="99"/>
      <c r="K122" s="99"/>
      <c r="L122" s="99"/>
      <c r="M122" s="99"/>
      <c r="N122" s="99"/>
      <c r="O122" s="67"/>
    </row>
    <row r="124" spans="1:15" x14ac:dyDescent="0.3">
      <c r="A124" s="164" t="s">
        <v>230</v>
      </c>
      <c r="B124" s="164"/>
      <c r="C124" s="164"/>
      <c r="D124" s="164"/>
      <c r="E124" s="164"/>
      <c r="F124" s="164"/>
      <c r="G124" s="164"/>
      <c r="H124" s="164"/>
      <c r="I124" s="164"/>
    </row>
    <row r="125" spans="1:15" ht="40.5" x14ac:dyDescent="0.3">
      <c r="A125" s="109" t="s">
        <v>50</v>
      </c>
      <c r="B125" s="109" t="s">
        <v>51</v>
      </c>
      <c r="C125" s="149" t="s">
        <v>204</v>
      </c>
      <c r="D125" s="149" t="s">
        <v>59</v>
      </c>
      <c r="E125" s="149" t="s">
        <v>61</v>
      </c>
      <c r="F125" s="149" t="s">
        <v>53</v>
      </c>
      <c r="G125" s="150" t="s">
        <v>60</v>
      </c>
      <c r="H125" s="151" t="s">
        <v>54</v>
      </c>
      <c r="I125" s="150" t="s">
        <v>55</v>
      </c>
    </row>
    <row r="126" spans="1:15" x14ac:dyDescent="0.3">
      <c r="A126" s="42" t="s">
        <v>96</v>
      </c>
      <c r="B126" s="70" t="s">
        <v>3</v>
      </c>
      <c r="C126" s="91">
        <v>75000000</v>
      </c>
      <c r="D126" s="277" t="s">
        <v>104</v>
      </c>
      <c r="E126" s="277">
        <v>43173</v>
      </c>
      <c r="F126" s="101" t="s">
        <v>58</v>
      </c>
      <c r="G126" s="101" t="s">
        <v>109</v>
      </c>
      <c r="H126" s="277" t="s">
        <v>113</v>
      </c>
      <c r="I126" s="143">
        <v>5</v>
      </c>
    </row>
    <row r="127" spans="1:15" x14ac:dyDescent="0.3">
      <c r="A127" s="42" t="s">
        <v>99</v>
      </c>
      <c r="B127" s="70" t="s">
        <v>3</v>
      </c>
      <c r="C127" s="91">
        <v>634000000</v>
      </c>
      <c r="D127" s="277" t="s">
        <v>107</v>
      </c>
      <c r="E127" s="277">
        <v>42922</v>
      </c>
      <c r="F127" s="101" t="s">
        <v>56</v>
      </c>
      <c r="G127" s="101" t="s">
        <v>108</v>
      </c>
      <c r="H127" s="277" t="s">
        <v>116</v>
      </c>
      <c r="I127" s="143">
        <v>6</v>
      </c>
    </row>
    <row r="128" spans="1:15" x14ac:dyDescent="0.3">
      <c r="A128" s="42" t="s">
        <v>94</v>
      </c>
      <c r="B128" s="70" t="s">
        <v>3</v>
      </c>
      <c r="C128" s="91">
        <v>920000000</v>
      </c>
      <c r="D128" s="277" t="s">
        <v>102</v>
      </c>
      <c r="E128" s="277">
        <v>43357</v>
      </c>
      <c r="F128" s="101" t="s">
        <v>56</v>
      </c>
      <c r="G128" s="101" t="s">
        <v>108</v>
      </c>
      <c r="H128" s="277" t="s">
        <v>112</v>
      </c>
      <c r="I128" s="143">
        <v>7</v>
      </c>
    </row>
    <row r="129" spans="1:9" x14ac:dyDescent="0.3">
      <c r="A129" s="42" t="s">
        <v>164</v>
      </c>
      <c r="B129" s="70" t="s">
        <v>3</v>
      </c>
      <c r="C129" s="91">
        <v>980000000</v>
      </c>
      <c r="D129" s="277">
        <f>E129-365</f>
        <v>43242</v>
      </c>
      <c r="E129" s="277">
        <v>43607</v>
      </c>
      <c r="F129" s="101" t="s">
        <v>56</v>
      </c>
      <c r="G129" s="101" t="s">
        <v>108</v>
      </c>
      <c r="H129" s="277">
        <v>41355</v>
      </c>
      <c r="I129" s="143">
        <v>9</v>
      </c>
    </row>
    <row r="130" spans="1:9" x14ac:dyDescent="0.3">
      <c r="A130" s="26" t="s">
        <v>167</v>
      </c>
      <c r="B130" s="70" t="s">
        <v>3</v>
      </c>
      <c r="C130" s="91">
        <v>395000000</v>
      </c>
      <c r="D130" s="277">
        <v>42464</v>
      </c>
      <c r="E130" s="277">
        <v>42829</v>
      </c>
      <c r="F130" s="101" t="s">
        <v>56</v>
      </c>
      <c r="G130" s="101" t="s">
        <v>108</v>
      </c>
      <c r="H130" s="277">
        <v>41367</v>
      </c>
      <c r="I130" s="143">
        <v>10</v>
      </c>
    </row>
    <row r="131" spans="1:9" x14ac:dyDescent="0.3">
      <c r="A131" s="26" t="s">
        <v>200</v>
      </c>
      <c r="B131" s="308" t="s">
        <v>3</v>
      </c>
      <c r="C131" s="92">
        <v>650000000</v>
      </c>
      <c r="D131" s="309">
        <v>43438</v>
      </c>
      <c r="E131" s="309">
        <v>43803</v>
      </c>
      <c r="F131" s="143" t="s">
        <v>58</v>
      </c>
      <c r="G131" s="143" t="s">
        <v>109</v>
      </c>
      <c r="H131" s="309">
        <v>41521</v>
      </c>
      <c r="I131" s="143">
        <v>11</v>
      </c>
    </row>
    <row r="132" spans="1:9" x14ac:dyDescent="0.3">
      <c r="A132" s="26" t="s">
        <v>206</v>
      </c>
      <c r="B132" s="308" t="s">
        <v>3</v>
      </c>
      <c r="C132" s="91">
        <v>500000000</v>
      </c>
      <c r="D132" s="277">
        <v>43640</v>
      </c>
      <c r="E132" s="277">
        <v>44006</v>
      </c>
      <c r="F132" s="101" t="s">
        <v>56</v>
      </c>
      <c r="G132" s="101" t="s">
        <v>108</v>
      </c>
      <c r="H132" s="309">
        <v>41663</v>
      </c>
      <c r="I132" s="143">
        <v>12</v>
      </c>
    </row>
    <row r="133" spans="1:9" ht="14" thickBot="1" x14ac:dyDescent="0.35">
      <c r="A133" s="43" t="s">
        <v>207</v>
      </c>
      <c r="B133" s="169" t="s">
        <v>3</v>
      </c>
      <c r="C133" s="95">
        <v>400000000</v>
      </c>
      <c r="D133" s="275">
        <v>44315</v>
      </c>
      <c r="E133" s="275">
        <v>44680</v>
      </c>
      <c r="F133" s="172" t="s">
        <v>56</v>
      </c>
      <c r="G133" s="171" t="s">
        <v>108</v>
      </c>
      <c r="H133" s="278">
        <v>41521</v>
      </c>
      <c r="I133" s="172">
        <v>13</v>
      </c>
    </row>
    <row r="134" spans="1:9" s="67" customFormat="1" ht="14" thickTop="1" x14ac:dyDescent="0.3">
      <c r="A134" s="26"/>
      <c r="C134" s="104"/>
      <c r="D134" s="102"/>
      <c r="E134" s="102"/>
      <c r="F134" s="105"/>
      <c r="I134" s="102"/>
    </row>
    <row r="135" spans="1:9" s="67" customFormat="1" x14ac:dyDescent="0.3">
      <c r="A135" s="26"/>
      <c r="C135" s="104"/>
      <c r="D135" s="102"/>
      <c r="E135" s="102"/>
      <c r="F135" s="105"/>
      <c r="I135" s="102"/>
    </row>
    <row r="136" spans="1:9" s="67" customFormat="1" x14ac:dyDescent="0.3">
      <c r="A136" s="164" t="s">
        <v>231</v>
      </c>
      <c r="B136" s="164"/>
      <c r="C136" s="164"/>
      <c r="D136" s="164"/>
      <c r="E136" s="164"/>
      <c r="F136" s="164"/>
      <c r="I136" s="102"/>
    </row>
    <row r="137" spans="1:9" s="67" customFormat="1" x14ac:dyDescent="0.3">
      <c r="A137" s="136" t="s">
        <v>119</v>
      </c>
      <c r="B137" s="19" t="s">
        <v>50</v>
      </c>
      <c r="C137" s="19" t="s">
        <v>120</v>
      </c>
      <c r="D137" s="19" t="s">
        <v>51</v>
      </c>
      <c r="E137" s="63" t="s">
        <v>121</v>
      </c>
      <c r="F137" s="63" t="s">
        <v>166</v>
      </c>
      <c r="I137" s="102"/>
    </row>
    <row r="138" spans="1:9" s="67" customFormat="1" x14ac:dyDescent="0.3">
      <c r="A138" s="8" t="s">
        <v>123</v>
      </c>
      <c r="B138" s="125" t="s">
        <v>124</v>
      </c>
      <c r="C138" s="125" t="s">
        <v>125</v>
      </c>
      <c r="D138" s="125" t="s">
        <v>3</v>
      </c>
      <c r="E138" s="92">
        <v>37863000</v>
      </c>
      <c r="F138" s="64" t="s">
        <v>242</v>
      </c>
      <c r="I138" s="102"/>
    </row>
    <row r="139" spans="1:9" s="67" customFormat="1" x14ac:dyDescent="0.3">
      <c r="A139" s="7" t="s">
        <v>168</v>
      </c>
      <c r="B139" s="126" t="s">
        <v>130</v>
      </c>
      <c r="C139" s="126" t="s">
        <v>128</v>
      </c>
      <c r="D139" s="126" t="s">
        <v>3</v>
      </c>
      <c r="E139" s="92">
        <v>25000000</v>
      </c>
      <c r="F139" s="64" t="s">
        <v>195</v>
      </c>
      <c r="I139" s="102"/>
    </row>
    <row r="140" spans="1:9" s="67" customFormat="1" x14ac:dyDescent="0.3">
      <c r="A140" s="7" t="s">
        <v>172</v>
      </c>
      <c r="B140" s="126" t="s">
        <v>178</v>
      </c>
      <c r="C140" s="126" t="s">
        <v>128</v>
      </c>
      <c r="D140" s="126" t="s">
        <v>3</v>
      </c>
      <c r="E140" s="91">
        <v>10000000</v>
      </c>
      <c r="F140" s="64" t="s">
        <v>129</v>
      </c>
      <c r="I140" s="102"/>
    </row>
    <row r="141" spans="1:9" s="67" customFormat="1" x14ac:dyDescent="0.3">
      <c r="A141" s="7" t="s">
        <v>187</v>
      </c>
      <c r="B141" s="126" t="s">
        <v>192</v>
      </c>
      <c r="C141" s="126" t="s">
        <v>128</v>
      </c>
      <c r="D141" s="126" t="s">
        <v>3</v>
      </c>
      <c r="E141" s="92">
        <v>50000000</v>
      </c>
      <c r="F141" s="64" t="s">
        <v>195</v>
      </c>
      <c r="I141" s="102"/>
    </row>
    <row r="142" spans="1:9" s="67" customFormat="1" x14ac:dyDescent="0.3">
      <c r="A142" s="7" t="s">
        <v>189</v>
      </c>
      <c r="B142" s="126" t="s">
        <v>193</v>
      </c>
      <c r="C142" s="126" t="s">
        <v>128</v>
      </c>
      <c r="D142" s="126" t="s">
        <v>3</v>
      </c>
      <c r="E142" s="92">
        <v>152000000</v>
      </c>
      <c r="F142" s="64" t="s">
        <v>129</v>
      </c>
      <c r="I142" s="102"/>
    </row>
    <row r="143" spans="1:9" s="67" customFormat="1" x14ac:dyDescent="0.3">
      <c r="A143" s="7" t="s">
        <v>211</v>
      </c>
      <c r="B143" s="126" t="s">
        <v>216</v>
      </c>
      <c r="C143" s="126" t="s">
        <v>128</v>
      </c>
      <c r="D143" s="126" t="s">
        <v>3</v>
      </c>
      <c r="E143" s="92">
        <v>124000000</v>
      </c>
      <c r="F143" s="64" t="s">
        <v>195</v>
      </c>
      <c r="I143" s="102"/>
    </row>
    <row r="144" spans="1:9" s="67" customFormat="1" x14ac:dyDescent="0.3">
      <c r="A144" s="7" t="s">
        <v>190</v>
      </c>
      <c r="B144" s="126" t="s">
        <v>194</v>
      </c>
      <c r="C144" s="126" t="s">
        <v>128</v>
      </c>
      <c r="D144" s="126" t="s">
        <v>3</v>
      </c>
      <c r="E144" s="92">
        <v>45000000</v>
      </c>
      <c r="F144" s="64" t="s">
        <v>129</v>
      </c>
      <c r="I144" s="102"/>
    </row>
    <row r="145" spans="1:11" s="67" customFormat="1" x14ac:dyDescent="0.3">
      <c r="A145" s="7" t="s">
        <v>175</v>
      </c>
      <c r="B145" s="126" t="s">
        <v>163</v>
      </c>
      <c r="C145" s="126" t="s">
        <v>128</v>
      </c>
      <c r="D145" s="126" t="s">
        <v>3</v>
      </c>
      <c r="E145" s="92">
        <v>25000000</v>
      </c>
      <c r="F145" s="64" t="s">
        <v>195</v>
      </c>
      <c r="I145" s="102"/>
    </row>
    <row r="146" spans="1:11" s="67" customFormat="1" x14ac:dyDescent="0.3">
      <c r="A146" s="7" t="s">
        <v>236</v>
      </c>
      <c r="B146" s="126" t="s">
        <v>239</v>
      </c>
      <c r="C146" s="126" t="s">
        <v>128</v>
      </c>
      <c r="D146" s="126" t="s">
        <v>3</v>
      </c>
      <c r="E146" s="92">
        <v>41000000</v>
      </c>
      <c r="F146" s="64" t="s">
        <v>129</v>
      </c>
      <c r="I146" s="102"/>
    </row>
    <row r="147" spans="1:11" s="67" customFormat="1" x14ac:dyDescent="0.3">
      <c r="A147" s="7" t="s">
        <v>237</v>
      </c>
      <c r="B147" s="126" t="s">
        <v>240</v>
      </c>
      <c r="C147" s="126" t="s">
        <v>128</v>
      </c>
      <c r="D147" s="126" t="s">
        <v>3</v>
      </c>
      <c r="E147" s="92">
        <v>10000000</v>
      </c>
      <c r="F147" s="64" t="s">
        <v>129</v>
      </c>
      <c r="I147" s="102"/>
    </row>
    <row r="148" spans="1:11" s="67" customFormat="1" ht="14" thickBot="1" x14ac:dyDescent="0.35">
      <c r="A148" s="3" t="s">
        <v>238</v>
      </c>
      <c r="B148" s="165" t="s">
        <v>241</v>
      </c>
      <c r="C148" s="165" t="s">
        <v>128</v>
      </c>
      <c r="D148" s="128" t="s">
        <v>3</v>
      </c>
      <c r="E148" s="96">
        <v>45000000</v>
      </c>
      <c r="F148" s="66" t="s">
        <v>129</v>
      </c>
      <c r="I148" s="102"/>
    </row>
    <row r="149" spans="1:11" s="67" customFormat="1" ht="14" thickTop="1" x14ac:dyDescent="0.3">
      <c r="A149" s="5" t="s">
        <v>1</v>
      </c>
      <c r="B149" s="166"/>
      <c r="C149" s="166"/>
      <c r="D149" s="166"/>
      <c r="E149" s="103">
        <f>SUM(E138:E148)</f>
        <v>564863000</v>
      </c>
      <c r="F149" s="167"/>
      <c r="I149" s="102"/>
    </row>
    <row r="150" spans="1:11" s="67" customFormat="1" x14ac:dyDescent="0.3">
      <c r="A150" s="26"/>
      <c r="C150" s="104"/>
      <c r="D150" s="102"/>
      <c r="E150" s="102"/>
      <c r="F150" s="105"/>
      <c r="I150" s="102"/>
    </row>
    <row r="151" spans="1:11" x14ac:dyDescent="0.3">
      <c r="A151" s="67"/>
      <c r="B151" s="67"/>
      <c r="C151" s="67"/>
      <c r="D151" s="67"/>
      <c r="E151" s="67"/>
      <c r="F151" s="67"/>
      <c r="G151" s="67"/>
      <c r="H151" s="67"/>
      <c r="I151" s="67"/>
      <c r="J151" s="67"/>
      <c r="K151" s="67"/>
    </row>
    <row r="152" spans="1:11" x14ac:dyDescent="0.3">
      <c r="A152" s="164" t="s">
        <v>232</v>
      </c>
      <c r="B152" s="164"/>
      <c r="C152" s="164"/>
      <c r="D152" s="164"/>
      <c r="E152" s="164"/>
    </row>
    <row r="172" spans="1:1" x14ac:dyDescent="0.3">
      <c r="A172"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176"/>
  <sheetViews>
    <sheetView workbookViewId="0">
      <selection activeCell="A84" sqref="A84"/>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42094</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4714186018</v>
      </c>
      <c r="C7" s="121"/>
      <c r="D7" s="174"/>
      <c r="E7" s="119"/>
      <c r="F7" s="120"/>
      <c r="G7" s="55"/>
      <c r="H7" s="55"/>
      <c r="I7" s="67"/>
      <c r="J7" s="67"/>
      <c r="K7" s="67"/>
      <c r="L7" s="67"/>
      <c r="M7" s="67"/>
    </row>
    <row r="8" spans="1:13" x14ac:dyDescent="0.3">
      <c r="A8" s="56" t="s">
        <v>78</v>
      </c>
      <c r="B8" s="123">
        <f>B7/B9</f>
        <v>1006659.4102071322</v>
      </c>
      <c r="C8" s="121"/>
      <c r="D8" s="175"/>
      <c r="E8" s="119"/>
      <c r="F8" s="120"/>
      <c r="G8" s="55"/>
      <c r="H8" s="55"/>
      <c r="I8" s="67"/>
      <c r="J8" s="67"/>
      <c r="K8" s="67"/>
      <c r="L8" s="67"/>
      <c r="M8" s="67"/>
    </row>
    <row r="9" spans="1:13" x14ac:dyDescent="0.3">
      <c r="A9" s="56" t="s">
        <v>73</v>
      </c>
      <c r="B9" s="123">
        <v>4683</v>
      </c>
      <c r="C9" s="121"/>
      <c r="D9" s="174"/>
      <c r="E9" s="119"/>
      <c r="F9" s="120"/>
      <c r="G9" s="55"/>
      <c r="H9" s="55"/>
      <c r="I9" s="67"/>
      <c r="J9" s="67"/>
      <c r="K9" s="67"/>
      <c r="L9" s="67"/>
      <c r="M9" s="67"/>
    </row>
    <row r="10" spans="1:13" ht="13.5" customHeight="1" x14ac:dyDescent="0.3">
      <c r="A10" s="56" t="s">
        <v>79</v>
      </c>
      <c r="B10" s="56">
        <v>1.0182033508377352E-2</v>
      </c>
      <c r="C10" s="121"/>
      <c r="D10" s="118"/>
      <c r="E10" s="119"/>
      <c r="F10" s="120"/>
      <c r="G10" s="55"/>
      <c r="H10" s="55"/>
      <c r="I10" s="67"/>
      <c r="J10" s="67"/>
      <c r="K10" s="67"/>
      <c r="L10" s="67"/>
      <c r="M10" s="67"/>
    </row>
    <row r="11" spans="1:13" x14ac:dyDescent="0.3">
      <c r="A11" s="56" t="s">
        <v>74</v>
      </c>
      <c r="B11" s="123">
        <v>40</v>
      </c>
      <c r="C11" s="121"/>
      <c r="D11" s="118"/>
      <c r="E11" s="119"/>
      <c r="F11" s="120"/>
      <c r="G11" s="55"/>
      <c r="H11" s="55"/>
      <c r="I11" s="67"/>
      <c r="J11" s="67"/>
      <c r="K11" s="67"/>
      <c r="L11" s="67"/>
      <c r="M11" s="67"/>
    </row>
    <row r="12" spans="1:13" x14ac:dyDescent="0.3">
      <c r="A12" s="56" t="s">
        <v>81</v>
      </c>
      <c r="B12" s="123">
        <v>163</v>
      </c>
      <c r="C12" s="121"/>
      <c r="D12" s="118"/>
      <c r="E12" s="119"/>
      <c r="F12" s="120"/>
      <c r="G12" s="55"/>
      <c r="H12" s="55"/>
      <c r="I12" s="67"/>
      <c r="J12" s="67"/>
      <c r="K12" s="67"/>
      <c r="L12" s="67"/>
      <c r="M12" s="67"/>
    </row>
    <row r="13" spans="1:13" x14ac:dyDescent="0.3">
      <c r="A13" s="56" t="s">
        <v>75</v>
      </c>
      <c r="B13" s="123">
        <v>4289</v>
      </c>
      <c r="C13" s="121"/>
      <c r="D13" s="118"/>
      <c r="E13" s="119"/>
      <c r="F13" s="120"/>
      <c r="G13" s="55"/>
      <c r="H13" s="55"/>
      <c r="I13" s="295"/>
      <c r="J13" s="295"/>
      <c r="K13" s="67"/>
      <c r="L13" s="67"/>
      <c r="M13" s="67"/>
    </row>
    <row r="14" spans="1:13" x14ac:dyDescent="0.3">
      <c r="A14" s="56" t="s">
        <v>196</v>
      </c>
      <c r="B14" s="56">
        <v>0.49769999999999998</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f>SUM(B84:B86)/B7</f>
        <v>1.2712777936884544E-4</v>
      </c>
      <c r="C17" s="121"/>
      <c r="D17" s="118"/>
      <c r="E17" s="119"/>
      <c r="F17" s="120"/>
      <c r="G17" s="55"/>
      <c r="H17" s="55"/>
      <c r="I17" s="295"/>
      <c r="J17" s="295"/>
      <c r="K17" s="67"/>
      <c r="L17" s="67"/>
      <c r="M17" s="67"/>
    </row>
    <row r="18" spans="1:13" x14ac:dyDescent="0.3">
      <c r="A18" s="56" t="s">
        <v>49</v>
      </c>
      <c r="B18" s="123">
        <f>E153</f>
        <v>1013737000</v>
      </c>
      <c r="C18" s="121"/>
      <c r="D18" s="319"/>
      <c r="E18" s="320"/>
      <c r="F18" s="321"/>
      <c r="G18" s="306"/>
      <c r="H18" s="297"/>
      <c r="I18" s="297"/>
      <c r="J18" s="167"/>
      <c r="K18" s="67"/>
      <c r="L18" s="67"/>
      <c r="M18" s="67"/>
    </row>
    <row r="19" spans="1:13" x14ac:dyDescent="0.3">
      <c r="A19" s="57" t="s">
        <v>80</v>
      </c>
      <c r="B19" s="58">
        <v>5754264000</v>
      </c>
      <c r="C19" s="59"/>
      <c r="D19" s="311" t="s">
        <v>234</v>
      </c>
      <c r="E19" s="318" t="s">
        <v>235</v>
      </c>
      <c r="F19" s="321"/>
      <c r="G19" s="307"/>
      <c r="H19" s="297"/>
      <c r="I19" s="297"/>
      <c r="J19" s="167"/>
      <c r="K19" s="67"/>
      <c r="L19" s="67"/>
      <c r="M19" s="67"/>
    </row>
    <row r="20" spans="1:13" x14ac:dyDescent="0.3">
      <c r="A20" s="305" t="s">
        <v>197</v>
      </c>
      <c r="B20" s="310">
        <f>$B$19/E20-1</f>
        <v>0.1565797201422563</v>
      </c>
      <c r="C20" s="59"/>
      <c r="D20" s="312"/>
      <c r="E20" s="318">
        <v>4975242000</v>
      </c>
      <c r="F20" s="321"/>
      <c r="G20" s="307"/>
      <c r="H20" s="297"/>
      <c r="I20" s="297"/>
      <c r="J20" s="167"/>
      <c r="K20" s="67"/>
      <c r="L20" s="67"/>
      <c r="M20" s="67"/>
    </row>
    <row r="21" spans="1:13" x14ac:dyDescent="0.3">
      <c r="A21" s="305" t="s">
        <v>198</v>
      </c>
      <c r="B21" s="310">
        <f>($B$19-D21)/E20-1</f>
        <v>0.12174718147531483</v>
      </c>
      <c r="C21" s="59"/>
      <c r="D21" s="318">
        <v>173300309.34239218</v>
      </c>
      <c r="E21" s="318"/>
      <c r="F21" s="321"/>
      <c r="G21" s="307"/>
      <c r="H21" s="297"/>
      <c r="I21" s="297"/>
      <c r="J21" s="167"/>
      <c r="K21" s="67"/>
      <c r="L21" s="67"/>
      <c r="M21" s="67"/>
    </row>
    <row r="22" spans="1:13" x14ac:dyDescent="0.3">
      <c r="A22" s="305" t="s">
        <v>233</v>
      </c>
      <c r="B22" s="310">
        <f>($B$19-D22)/E20-1</f>
        <v>7.3228860424329634E-2</v>
      </c>
      <c r="C22" s="59"/>
      <c r="D22" s="318">
        <v>414690698.0047375</v>
      </c>
      <c r="E22" s="318"/>
      <c r="F22" s="321"/>
      <c r="G22" s="307"/>
      <c r="H22" s="297"/>
      <c r="I22" s="297"/>
      <c r="J22" s="167"/>
      <c r="K22" s="67"/>
      <c r="L22" s="67"/>
      <c r="M22" s="67"/>
    </row>
    <row r="23" spans="1:13" s="54" customFormat="1" x14ac:dyDescent="0.3">
      <c r="A23" s="59"/>
      <c r="B23" s="60"/>
      <c r="C23" s="59"/>
      <c r="D23" s="322"/>
      <c r="E23" s="323"/>
      <c r="F23" s="321"/>
      <c r="G23" s="306"/>
      <c r="H23" s="297"/>
      <c r="I23" s="297"/>
      <c r="J23" s="167"/>
      <c r="K23" s="55"/>
      <c r="L23" s="55"/>
      <c r="M23" s="55"/>
    </row>
    <row r="24" spans="1:13" x14ac:dyDescent="0.3">
      <c r="F24" s="186"/>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1368915611.5000014</v>
      </c>
      <c r="C28" s="129">
        <v>2667</v>
      </c>
      <c r="D28" s="64">
        <f t="shared" ref="D28:D37" si="0">B28/$B$40</f>
        <v>0.29038217968718971</v>
      </c>
      <c r="E28" s="173"/>
      <c r="F28" s="186"/>
      <c r="G28" s="186"/>
      <c r="H28" s="297"/>
      <c r="I28" s="298"/>
      <c r="J28" s="167"/>
      <c r="K28" s="67"/>
      <c r="L28" s="67"/>
      <c r="M28" s="67"/>
    </row>
    <row r="29" spans="1:13" ht="14.5" x14ac:dyDescent="0.35">
      <c r="A29" s="6" t="s">
        <v>7</v>
      </c>
      <c r="B29" s="126">
        <v>770607975.98999989</v>
      </c>
      <c r="C29" s="129">
        <v>558</v>
      </c>
      <c r="D29" s="64">
        <f t="shared" si="0"/>
        <v>0.16346575484453046</v>
      </c>
      <c r="E29" s="173"/>
      <c r="F29" s="116"/>
      <c r="G29" s="116"/>
      <c r="H29" s="116"/>
      <c r="I29" s="116"/>
      <c r="J29" s="167"/>
      <c r="K29" s="67"/>
      <c r="L29" s="67"/>
      <c r="M29" s="67"/>
    </row>
    <row r="30" spans="1:13" ht="14.5" x14ac:dyDescent="0.35">
      <c r="A30" s="6" t="s">
        <v>8</v>
      </c>
      <c r="B30" s="126">
        <v>981868197.97000015</v>
      </c>
      <c r="C30" s="129">
        <v>605</v>
      </c>
      <c r="D30" s="64">
        <f t="shared" si="0"/>
        <v>0.20827947690628076</v>
      </c>
      <c r="E30" s="173"/>
      <c r="F30" s="59"/>
      <c r="G30" s="59"/>
      <c r="H30" s="59"/>
      <c r="I30" s="59"/>
      <c r="J30" s="167"/>
      <c r="K30" s="67"/>
      <c r="L30" s="67"/>
      <c r="M30" s="67"/>
    </row>
    <row r="31" spans="1:13" ht="14.5" x14ac:dyDescent="0.35">
      <c r="A31" s="6" t="s">
        <v>9</v>
      </c>
      <c r="B31" s="126">
        <v>1084257285.0500004</v>
      </c>
      <c r="C31" s="129">
        <v>604</v>
      </c>
      <c r="D31" s="64">
        <f t="shared" si="0"/>
        <v>0.22999883347778841</v>
      </c>
      <c r="E31" s="173"/>
      <c r="F31" s="316"/>
      <c r="G31" s="317"/>
      <c r="H31" s="317"/>
      <c r="I31" s="176"/>
      <c r="J31" s="167"/>
      <c r="K31" s="67"/>
      <c r="L31" s="67"/>
      <c r="M31" s="67"/>
    </row>
    <row r="32" spans="1:13" ht="14.5" x14ac:dyDescent="0.35">
      <c r="A32" s="6" t="s">
        <v>140</v>
      </c>
      <c r="B32" s="126">
        <v>423927348.07000005</v>
      </c>
      <c r="C32" s="129">
        <v>214</v>
      </c>
      <c r="D32" s="64">
        <f t="shared" si="0"/>
        <v>8.9925884639950604E-2</v>
      </c>
      <c r="E32" s="173"/>
      <c r="F32" s="304"/>
      <c r="G32" s="297"/>
      <c r="H32" s="297"/>
      <c r="I32" s="121"/>
      <c r="J32" s="167"/>
      <c r="K32" s="67"/>
      <c r="L32" s="67"/>
      <c r="M32" s="67"/>
    </row>
    <row r="33" spans="1:13" ht="14.5" x14ac:dyDescent="0.35">
      <c r="A33" s="6" t="s">
        <v>141</v>
      </c>
      <c r="B33" s="126">
        <v>40807562.309999995</v>
      </c>
      <c r="C33" s="129">
        <v>17</v>
      </c>
      <c r="D33" s="64">
        <f t="shared" si="0"/>
        <v>8.6563326415089233E-3</v>
      </c>
      <c r="E33" s="173"/>
      <c r="F33" s="304"/>
      <c r="G33" s="297"/>
      <c r="H33" s="297"/>
      <c r="I33" s="121"/>
      <c r="J33" s="303"/>
      <c r="K33" s="67"/>
      <c r="L33" s="67"/>
      <c r="M33" s="67"/>
    </row>
    <row r="34" spans="1:13" ht="14.5" x14ac:dyDescent="0.35">
      <c r="A34" s="6" t="s">
        <v>10</v>
      </c>
      <c r="B34" s="126">
        <v>6335401.9699999997</v>
      </c>
      <c r="C34" s="129">
        <v>4</v>
      </c>
      <c r="D34" s="64">
        <f t="shared" si="0"/>
        <v>1.3439015654348929E-3</v>
      </c>
      <c r="E34" s="173"/>
      <c r="F34" s="304"/>
      <c r="G34" s="297"/>
      <c r="H34" s="297"/>
      <c r="I34" s="121"/>
      <c r="J34" s="295"/>
      <c r="K34" s="67"/>
      <c r="L34" s="67"/>
      <c r="M34" s="67"/>
    </row>
    <row r="35" spans="1:13" ht="14.5" x14ac:dyDescent="0.35">
      <c r="A35" s="6" t="s">
        <v>11</v>
      </c>
      <c r="B35" s="134">
        <v>4961159</v>
      </c>
      <c r="C35" s="135">
        <v>2</v>
      </c>
      <c r="D35" s="64">
        <f t="shared" si="0"/>
        <v>1.0523893161070266E-3</v>
      </c>
      <c r="E35" s="173"/>
      <c r="F35" s="304"/>
      <c r="G35" s="297"/>
      <c r="H35" s="297"/>
      <c r="I35" s="121"/>
      <c r="J35" s="67"/>
      <c r="K35" s="67"/>
      <c r="L35" s="67"/>
      <c r="M35" s="67"/>
    </row>
    <row r="36" spans="1:13" ht="14.5" x14ac:dyDescent="0.35">
      <c r="A36" s="6" t="s">
        <v>12</v>
      </c>
      <c r="B36" s="130"/>
      <c r="C36" s="131"/>
      <c r="D36" s="64">
        <f t="shared" si="0"/>
        <v>0</v>
      </c>
      <c r="E36" s="173"/>
      <c r="F36" s="304"/>
      <c r="G36" s="297"/>
      <c r="H36" s="297"/>
      <c r="I36" s="121"/>
      <c r="J36" s="67"/>
      <c r="K36" s="67"/>
      <c r="L36" s="67"/>
      <c r="M36" s="67"/>
    </row>
    <row r="37" spans="1:13" ht="14.5" x14ac:dyDescent="0.35">
      <c r="A37" s="6" t="s">
        <v>13</v>
      </c>
      <c r="B37" s="130">
        <v>3116700.21</v>
      </c>
      <c r="C37" s="131">
        <v>1</v>
      </c>
      <c r="D37" s="64">
        <f t="shared" si="0"/>
        <v>6.61132207718504E-4</v>
      </c>
      <c r="E37" s="173"/>
      <c r="F37" s="304"/>
      <c r="G37" s="297"/>
      <c r="H37" s="297"/>
      <c r="I37" s="121"/>
      <c r="J37" s="67"/>
      <c r="K37" s="67"/>
      <c r="L37" s="67"/>
      <c r="M37" s="67"/>
    </row>
    <row r="38" spans="1:13" ht="14.5" x14ac:dyDescent="0.35">
      <c r="A38" s="6" t="s">
        <v>14</v>
      </c>
      <c r="B38" s="130"/>
      <c r="C38" s="131"/>
      <c r="D38" s="64">
        <f>B38/$B$40</f>
        <v>0</v>
      </c>
      <c r="E38" s="173"/>
      <c r="F38" s="304"/>
      <c r="G38" s="297"/>
      <c r="H38" s="297"/>
      <c r="I38" s="121"/>
      <c r="J38" s="67"/>
      <c r="K38" s="67"/>
      <c r="L38" s="67"/>
      <c r="M38" s="67"/>
    </row>
    <row r="39" spans="1:13" ht="15" thickBot="1" x14ac:dyDescent="0.4">
      <c r="A39" s="4" t="s">
        <v>15</v>
      </c>
      <c r="B39" s="132">
        <v>29388776.420000002</v>
      </c>
      <c r="C39" s="287">
        <v>11</v>
      </c>
      <c r="D39" s="65">
        <f>B39/$B$40</f>
        <v>6.234114713490559E-3</v>
      </c>
      <c r="E39" s="173"/>
      <c r="F39" s="304"/>
      <c r="G39" s="298"/>
      <c r="H39" s="298"/>
      <c r="I39" s="121"/>
      <c r="J39" s="67"/>
      <c r="K39" s="67"/>
      <c r="L39" s="67"/>
      <c r="M39" s="67"/>
    </row>
    <row r="40" spans="1:13" ht="15" thickTop="1" x14ac:dyDescent="0.35">
      <c r="A40" s="1" t="s">
        <v>1</v>
      </c>
      <c r="B40" s="18">
        <f>SUM(B28:B39)</f>
        <v>4714186018.4900026</v>
      </c>
      <c r="C40" s="133">
        <f>SUM(C28:C39)</f>
        <v>4683</v>
      </c>
      <c r="D40" s="300">
        <f>SUM(D28:D39)</f>
        <v>0.99999999999999967</v>
      </c>
      <c r="E40" s="173"/>
      <c r="F40" s="304"/>
      <c r="G40" s="299"/>
      <c r="H40" s="299"/>
      <c r="I40" s="121"/>
    </row>
    <row r="41" spans="1:13" x14ac:dyDescent="0.3">
      <c r="F41" s="304"/>
      <c r="G41" s="299"/>
      <c r="H41" s="299"/>
      <c r="I41" s="121"/>
    </row>
    <row r="42" spans="1:13" x14ac:dyDescent="0.3">
      <c r="F42" s="304"/>
      <c r="G42" s="299"/>
      <c r="H42" s="299"/>
      <c r="I42" s="121"/>
    </row>
    <row r="43" spans="1:13" x14ac:dyDescent="0.3">
      <c r="A43" s="163" t="s">
        <v>218</v>
      </c>
      <c r="B43" s="164"/>
      <c r="C43" s="163"/>
      <c r="D43" s="164"/>
      <c r="F43" s="304"/>
      <c r="G43" s="299"/>
      <c r="H43" s="299"/>
      <c r="I43" s="121"/>
    </row>
    <row r="44" spans="1:13" x14ac:dyDescent="0.3">
      <c r="A44" s="106"/>
      <c r="B44" s="106"/>
      <c r="C44" s="106"/>
      <c r="D44" s="106"/>
      <c r="F44" s="304"/>
      <c r="G44" s="301"/>
      <c r="H44" s="302"/>
      <c r="I44" s="303"/>
    </row>
    <row r="45" spans="1:13" x14ac:dyDescent="0.3">
      <c r="A45" s="9" t="s">
        <v>219</v>
      </c>
      <c r="B45" s="10" t="s">
        <v>4</v>
      </c>
      <c r="C45" s="10" t="s">
        <v>5</v>
      </c>
      <c r="D45" s="63" t="s">
        <v>17</v>
      </c>
    </row>
    <row r="46" spans="1:13" x14ac:dyDescent="0.3">
      <c r="A46" s="6" t="s">
        <v>220</v>
      </c>
      <c r="B46" s="126">
        <v>184773441.40000007</v>
      </c>
      <c r="C46" s="129">
        <v>1670</v>
      </c>
      <c r="D46" s="64">
        <f>B46/$B$40</f>
        <v>3.9195195241613461E-2</v>
      </c>
      <c r="E46" s="279"/>
    </row>
    <row r="47" spans="1:13" x14ac:dyDescent="0.3">
      <c r="A47" s="6" t="s">
        <v>221</v>
      </c>
      <c r="B47" s="126">
        <v>679853579.72000003</v>
      </c>
      <c r="C47" s="129">
        <v>909</v>
      </c>
      <c r="D47" s="64">
        <f t="shared" ref="D47:D49" si="1">B47/$B$40</f>
        <v>0.14421441518291284</v>
      </c>
      <c r="E47" s="279"/>
    </row>
    <row r="48" spans="1:13" x14ac:dyDescent="0.3">
      <c r="A48" s="6" t="s">
        <v>222</v>
      </c>
      <c r="B48" s="126">
        <v>2106484588.450002</v>
      </c>
      <c r="C48" s="129">
        <v>1457</v>
      </c>
      <c r="D48" s="64">
        <f t="shared" si="1"/>
        <v>0.44683951379685449</v>
      </c>
      <c r="E48" s="279"/>
    </row>
    <row r="49" spans="1:14" x14ac:dyDescent="0.3">
      <c r="A49" s="6" t="s">
        <v>223</v>
      </c>
      <c r="B49" s="126">
        <v>1183231765.47</v>
      </c>
      <c r="C49" s="129">
        <v>493</v>
      </c>
      <c r="D49" s="64">
        <f t="shared" si="1"/>
        <v>0.25099386422791187</v>
      </c>
      <c r="E49" s="279"/>
    </row>
    <row r="50" spans="1:14" ht="14" thickBot="1" x14ac:dyDescent="0.35">
      <c r="A50" s="4" t="s">
        <v>224</v>
      </c>
      <c r="B50" s="132">
        <v>560417108.8900001</v>
      </c>
      <c r="C50" s="287">
        <v>154</v>
      </c>
      <c r="D50" s="65">
        <f>B50/$B$40</f>
        <v>0.1188788704331839</v>
      </c>
      <c r="E50" s="279"/>
    </row>
    <row r="51" spans="1:14" ht="14" thickTop="1" x14ac:dyDescent="0.3">
      <c r="A51" s="1" t="s">
        <v>1</v>
      </c>
      <c r="B51" s="18">
        <f>SUM(B46:B50)</f>
        <v>4714760483.9300022</v>
      </c>
      <c r="C51" s="133">
        <f>SUM(C46:C50)</f>
        <v>4683</v>
      </c>
      <c r="D51" s="300">
        <f>SUM(D46:D50)</f>
        <v>1.0001218588824767</v>
      </c>
    </row>
    <row r="54" spans="1:14" x14ac:dyDescent="0.3">
      <c r="A54" s="164" t="s">
        <v>225</v>
      </c>
      <c r="B54" s="164"/>
      <c r="C54" s="164"/>
      <c r="D54" s="293"/>
      <c r="E54" s="293"/>
      <c r="F54" s="293"/>
      <c r="G54" s="293"/>
      <c r="H54" s="293"/>
      <c r="I54" s="293"/>
      <c r="J54" s="293"/>
      <c r="K54" s="164"/>
      <c r="L54" s="164"/>
      <c r="M54" s="164"/>
      <c r="N54" s="164"/>
    </row>
    <row r="55" spans="1:14" s="68" customFormat="1" x14ac:dyDescent="0.3">
      <c r="A55" s="107"/>
      <c r="B55" s="155" t="s">
        <v>1</v>
      </c>
      <c r="C55" s="158" t="s">
        <v>18</v>
      </c>
      <c r="D55" s="281" t="s">
        <v>19</v>
      </c>
      <c r="E55" s="281" t="s">
        <v>20</v>
      </c>
      <c r="F55" s="281" t="s">
        <v>21</v>
      </c>
      <c r="G55" s="281" t="s">
        <v>138</v>
      </c>
      <c r="H55" s="281" t="s">
        <v>139</v>
      </c>
      <c r="I55" s="281" t="s">
        <v>22</v>
      </c>
      <c r="J55" s="281" t="s">
        <v>23</v>
      </c>
      <c r="K55" s="313" t="s">
        <v>24</v>
      </c>
      <c r="L55" s="281" t="s">
        <v>25</v>
      </c>
      <c r="M55" s="159" t="s">
        <v>26</v>
      </c>
      <c r="N55" s="160" t="s">
        <v>27</v>
      </c>
    </row>
    <row r="56" spans="1:14" x14ac:dyDescent="0.3">
      <c r="A56" s="153" t="s">
        <v>28</v>
      </c>
      <c r="B56" s="288">
        <f t="shared" ref="B56:B74" si="2">SUM(C56:N56)</f>
        <v>164759347.34</v>
      </c>
      <c r="C56" s="87">
        <v>44870973.149999999</v>
      </c>
      <c r="D56" s="87">
        <v>46567722.259999998</v>
      </c>
      <c r="E56" s="87">
        <v>25434105</v>
      </c>
      <c r="F56" s="87">
        <v>38838523.93</v>
      </c>
      <c r="G56" s="87">
        <v>9048023</v>
      </c>
      <c r="H56" s="87">
        <v>0</v>
      </c>
      <c r="I56" s="87">
        <v>0</v>
      </c>
      <c r="J56" s="87">
        <v>0</v>
      </c>
      <c r="K56" s="283">
        <v>0</v>
      </c>
      <c r="L56" s="291">
        <v>0</v>
      </c>
      <c r="M56" s="291">
        <v>0</v>
      </c>
      <c r="N56" s="161">
        <v>0</v>
      </c>
    </row>
    <row r="57" spans="1:14" x14ac:dyDescent="0.3">
      <c r="A57" s="154" t="s">
        <v>29</v>
      </c>
      <c r="B57" s="282">
        <f>SUM(C57:N57)</f>
        <v>168273813.97</v>
      </c>
      <c r="C57" s="92">
        <v>30317820.299999997</v>
      </c>
      <c r="D57" s="92">
        <v>25905133.84</v>
      </c>
      <c r="E57" s="92">
        <v>50744411.409999996</v>
      </c>
      <c r="F57" s="92">
        <v>48544877.180000007</v>
      </c>
      <c r="G57" s="92">
        <v>7719485</v>
      </c>
      <c r="H57" s="92">
        <v>2778754.7</v>
      </c>
      <c r="I57" s="92">
        <v>2263331.54</v>
      </c>
      <c r="J57" s="92">
        <v>0</v>
      </c>
      <c r="K57" s="283">
        <v>0</v>
      </c>
      <c r="L57" s="283">
        <v>0</v>
      </c>
      <c r="M57" s="283">
        <v>0</v>
      </c>
      <c r="N57" s="162">
        <v>0</v>
      </c>
    </row>
    <row r="58" spans="1:14" x14ac:dyDescent="0.3">
      <c r="A58" s="154" t="s">
        <v>30</v>
      </c>
      <c r="B58" s="282">
        <f t="shared" si="2"/>
        <v>19963066.280000001</v>
      </c>
      <c r="C58" s="92">
        <v>2661223</v>
      </c>
      <c r="D58" s="92">
        <v>1781287</v>
      </c>
      <c r="E58" s="92">
        <v>9862401.2799999993</v>
      </c>
      <c r="F58" s="92">
        <v>5658155</v>
      </c>
      <c r="G58" s="92">
        <v>0</v>
      </c>
      <c r="H58" s="92">
        <v>0</v>
      </c>
      <c r="I58" s="92">
        <v>0</v>
      </c>
      <c r="J58" s="92">
        <v>0</v>
      </c>
      <c r="K58" s="283">
        <v>0</v>
      </c>
      <c r="L58" s="283">
        <v>0</v>
      </c>
      <c r="M58" s="283">
        <v>0</v>
      </c>
      <c r="N58" s="162">
        <v>0</v>
      </c>
    </row>
    <row r="59" spans="1:14" x14ac:dyDescent="0.3">
      <c r="A59" s="154" t="s">
        <v>31</v>
      </c>
      <c r="B59" s="282">
        <f t="shared" si="2"/>
        <v>4596076</v>
      </c>
      <c r="C59" s="92">
        <v>0</v>
      </c>
      <c r="D59" s="92">
        <v>0</v>
      </c>
      <c r="E59" s="92">
        <v>1815334</v>
      </c>
      <c r="F59" s="92">
        <v>2122509</v>
      </c>
      <c r="G59" s="92">
        <v>658233</v>
      </c>
      <c r="H59" s="92">
        <v>0</v>
      </c>
      <c r="I59" s="92">
        <v>0</v>
      </c>
      <c r="J59" s="92">
        <v>0</v>
      </c>
      <c r="K59" s="283">
        <v>0</v>
      </c>
      <c r="L59" s="283">
        <v>0</v>
      </c>
      <c r="M59" s="283">
        <v>0</v>
      </c>
      <c r="N59" s="162">
        <v>0</v>
      </c>
    </row>
    <row r="60" spans="1:14" x14ac:dyDescent="0.3">
      <c r="A60" s="154" t="s">
        <v>32</v>
      </c>
      <c r="B60" s="282">
        <f t="shared" si="2"/>
        <v>420402123.36999995</v>
      </c>
      <c r="C60" s="92">
        <v>112287782.74999997</v>
      </c>
      <c r="D60" s="92">
        <v>48455006.990000002</v>
      </c>
      <c r="E60" s="92">
        <v>122663508.78000002</v>
      </c>
      <c r="F60" s="92">
        <v>102004392.27000001</v>
      </c>
      <c r="G60" s="92">
        <v>22790623.890000001</v>
      </c>
      <c r="H60" s="92">
        <v>3660093.14</v>
      </c>
      <c r="I60" s="92">
        <v>2054142.01</v>
      </c>
      <c r="J60" s="92">
        <v>0</v>
      </c>
      <c r="K60" s="283">
        <v>0</v>
      </c>
      <c r="L60" s="283">
        <v>0</v>
      </c>
      <c r="M60" s="283">
        <v>0</v>
      </c>
      <c r="N60" s="162">
        <v>6486573.54</v>
      </c>
    </row>
    <row r="61" spans="1:14" x14ac:dyDescent="0.3">
      <c r="A61" s="154" t="s">
        <v>143</v>
      </c>
      <c r="B61" s="282">
        <f t="shared" si="2"/>
        <v>8511749</v>
      </c>
      <c r="C61" s="92">
        <v>3131126</v>
      </c>
      <c r="D61" s="92">
        <v>1250197</v>
      </c>
      <c r="E61" s="92">
        <v>4130426</v>
      </c>
      <c r="F61" s="92">
        <v>0</v>
      </c>
      <c r="G61" s="92">
        <v>0</v>
      </c>
      <c r="H61" s="92">
        <v>0</v>
      </c>
      <c r="I61" s="92">
        <v>0</v>
      </c>
      <c r="J61" s="92">
        <v>0</v>
      </c>
      <c r="K61" s="92">
        <v>0</v>
      </c>
      <c r="L61" s="283">
        <v>0</v>
      </c>
      <c r="M61" s="283">
        <v>0</v>
      </c>
      <c r="N61" s="162">
        <v>0</v>
      </c>
    </row>
    <row r="62" spans="1:14" x14ac:dyDescent="0.3">
      <c r="A62" s="154" t="s">
        <v>33</v>
      </c>
      <c r="B62" s="282">
        <f t="shared" si="2"/>
        <v>1369127.62</v>
      </c>
      <c r="C62" s="92">
        <v>1369127.62</v>
      </c>
      <c r="D62" s="92">
        <v>0</v>
      </c>
      <c r="E62" s="92">
        <v>0</v>
      </c>
      <c r="F62" s="92">
        <v>0</v>
      </c>
      <c r="G62" s="92">
        <v>0</v>
      </c>
      <c r="H62" s="92">
        <v>0</v>
      </c>
      <c r="I62" s="92">
        <v>0</v>
      </c>
      <c r="J62" s="92">
        <v>0</v>
      </c>
      <c r="K62" s="283">
        <v>0</v>
      </c>
      <c r="L62" s="283">
        <v>0</v>
      </c>
      <c r="M62" s="283">
        <v>0</v>
      </c>
      <c r="N62" s="162">
        <v>0</v>
      </c>
    </row>
    <row r="63" spans="1:14" x14ac:dyDescent="0.3">
      <c r="A63" s="154" t="s">
        <v>205</v>
      </c>
      <c r="B63" s="282">
        <f t="shared" si="2"/>
        <v>1611274</v>
      </c>
      <c r="C63" s="92">
        <v>1611274</v>
      </c>
      <c r="D63" s="92">
        <v>0</v>
      </c>
      <c r="E63" s="92">
        <v>0</v>
      </c>
      <c r="F63" s="92">
        <v>0</v>
      </c>
      <c r="G63" s="92">
        <v>0</v>
      </c>
      <c r="H63" s="92">
        <v>0</v>
      </c>
      <c r="I63" s="92">
        <v>0</v>
      </c>
      <c r="J63" s="92">
        <v>0</v>
      </c>
      <c r="K63" s="283">
        <v>0</v>
      </c>
      <c r="L63" s="283">
        <v>0</v>
      </c>
      <c r="M63" s="283">
        <v>0</v>
      </c>
      <c r="N63" s="162">
        <v>0</v>
      </c>
    </row>
    <row r="64" spans="1:14" x14ac:dyDescent="0.3">
      <c r="A64" s="154" t="s">
        <v>34</v>
      </c>
      <c r="B64" s="282">
        <f t="shared" si="2"/>
        <v>6118119</v>
      </c>
      <c r="C64" s="92">
        <v>3964932</v>
      </c>
      <c r="D64" s="92">
        <v>0</v>
      </c>
      <c r="E64" s="92">
        <v>2153187</v>
      </c>
      <c r="F64" s="92">
        <v>0</v>
      </c>
      <c r="G64" s="92">
        <v>0</v>
      </c>
      <c r="H64" s="92">
        <v>0</v>
      </c>
      <c r="I64" s="92">
        <v>0</v>
      </c>
      <c r="J64" s="92">
        <v>0</v>
      </c>
      <c r="K64" s="283">
        <v>0</v>
      </c>
      <c r="L64" s="283">
        <v>0</v>
      </c>
      <c r="M64" s="283">
        <v>0</v>
      </c>
      <c r="N64" s="162">
        <v>0</v>
      </c>
    </row>
    <row r="65" spans="1:14" x14ac:dyDescent="0.3">
      <c r="A65" s="154" t="s">
        <v>35</v>
      </c>
      <c r="B65" s="282">
        <f t="shared" si="2"/>
        <v>150460765.13999999</v>
      </c>
      <c r="C65" s="92">
        <v>43711194.619999997</v>
      </c>
      <c r="D65" s="92">
        <v>30992773.960000001</v>
      </c>
      <c r="E65" s="92">
        <v>41807128.059999995</v>
      </c>
      <c r="F65" s="92">
        <v>28645151.5</v>
      </c>
      <c r="G65" s="92">
        <v>5304517</v>
      </c>
      <c r="H65" s="92">
        <v>0</v>
      </c>
      <c r="I65" s="92">
        <v>0</v>
      </c>
      <c r="J65" s="92">
        <v>0</v>
      </c>
      <c r="K65" s="283">
        <v>0</v>
      </c>
      <c r="L65" s="283">
        <v>0</v>
      </c>
      <c r="M65" s="283">
        <v>0</v>
      </c>
      <c r="N65" s="162">
        <v>0</v>
      </c>
    </row>
    <row r="66" spans="1:14" x14ac:dyDescent="0.3">
      <c r="A66" s="154" t="s">
        <v>36</v>
      </c>
      <c r="B66" s="282">
        <f t="shared" si="2"/>
        <v>2282708187.3699994</v>
      </c>
      <c r="C66" s="92">
        <v>641180923.98999977</v>
      </c>
      <c r="D66" s="92">
        <v>373114591.2299999</v>
      </c>
      <c r="E66" s="92">
        <v>441473908.77999979</v>
      </c>
      <c r="F66" s="92">
        <v>513809113.31999987</v>
      </c>
      <c r="G66" s="92">
        <v>254773173.06999999</v>
      </c>
      <c r="H66" s="92">
        <v>29181844.469999999</v>
      </c>
      <c r="I66" s="92">
        <v>2017928.42</v>
      </c>
      <c r="J66" s="92">
        <v>2539021</v>
      </c>
      <c r="K66" s="283">
        <v>0</v>
      </c>
      <c r="L66" s="283">
        <v>3116700.21</v>
      </c>
      <c r="M66" s="283">
        <v>0</v>
      </c>
      <c r="N66" s="162">
        <v>21500982.879999999</v>
      </c>
    </row>
    <row r="67" spans="1:14" x14ac:dyDescent="0.3">
      <c r="A67" s="154" t="s">
        <v>37</v>
      </c>
      <c r="B67" s="282">
        <f t="shared" si="2"/>
        <v>137687848.59999999</v>
      </c>
      <c r="C67" s="92">
        <v>38170901.599999994</v>
      </c>
      <c r="D67" s="92">
        <v>33594788.430000007</v>
      </c>
      <c r="E67" s="92">
        <v>34944181.259999998</v>
      </c>
      <c r="F67" s="92">
        <v>27229541.25</v>
      </c>
      <c r="G67" s="92">
        <v>3748436.06</v>
      </c>
      <c r="H67" s="92">
        <v>0</v>
      </c>
      <c r="I67" s="92">
        <v>0</v>
      </c>
      <c r="J67" s="92">
        <v>0</v>
      </c>
      <c r="K67" s="283">
        <v>0</v>
      </c>
      <c r="L67" s="283">
        <v>0</v>
      </c>
      <c r="M67" s="283">
        <v>0</v>
      </c>
      <c r="N67" s="162">
        <v>0</v>
      </c>
    </row>
    <row r="68" spans="1:14" x14ac:dyDescent="0.3">
      <c r="A68" s="154" t="s">
        <v>144</v>
      </c>
      <c r="B68" s="282">
        <f t="shared" si="2"/>
        <v>13607939.199999999</v>
      </c>
      <c r="C68" s="92">
        <v>2031265</v>
      </c>
      <c r="D68" s="92">
        <v>2606931</v>
      </c>
      <c r="E68" s="92">
        <v>2519704</v>
      </c>
      <c r="F68" s="92">
        <v>6450039.2000000002</v>
      </c>
      <c r="G68" s="92">
        <v>0</v>
      </c>
      <c r="H68" s="92">
        <v>0</v>
      </c>
      <c r="I68" s="92">
        <v>0</v>
      </c>
      <c r="J68" s="92">
        <v>0</v>
      </c>
      <c r="K68" s="283">
        <v>0</v>
      </c>
      <c r="L68" s="283">
        <v>0</v>
      </c>
      <c r="M68" s="283">
        <v>0</v>
      </c>
      <c r="N68" s="162">
        <v>0</v>
      </c>
    </row>
    <row r="69" spans="1:14" x14ac:dyDescent="0.3">
      <c r="A69" s="154" t="s">
        <v>38</v>
      </c>
      <c r="B69" s="282">
        <f t="shared" si="2"/>
        <v>7111607.1799999997</v>
      </c>
      <c r="C69" s="92">
        <v>5063540.18</v>
      </c>
      <c r="D69" s="92">
        <v>0</v>
      </c>
      <c r="E69" s="92">
        <v>1006318</v>
      </c>
      <c r="F69" s="92">
        <v>1041749</v>
      </c>
      <c r="G69" s="92">
        <v>0</v>
      </c>
      <c r="H69" s="92">
        <v>0</v>
      </c>
      <c r="I69" s="92">
        <v>0</v>
      </c>
      <c r="J69" s="92">
        <v>0</v>
      </c>
      <c r="K69" s="283">
        <v>0</v>
      </c>
      <c r="L69" s="283">
        <v>0</v>
      </c>
      <c r="M69" s="283">
        <v>0</v>
      </c>
      <c r="N69" s="162">
        <v>0</v>
      </c>
    </row>
    <row r="70" spans="1:14" x14ac:dyDescent="0.3">
      <c r="A70" s="154" t="s">
        <v>39</v>
      </c>
      <c r="B70" s="282">
        <f t="shared" si="2"/>
        <v>2329319.8899999997</v>
      </c>
      <c r="C70" s="92">
        <v>2329319.8899999997</v>
      </c>
      <c r="D70" s="92">
        <v>0</v>
      </c>
      <c r="E70" s="92">
        <v>0</v>
      </c>
      <c r="F70" s="92">
        <v>0</v>
      </c>
      <c r="G70" s="92">
        <v>0</v>
      </c>
      <c r="H70" s="92">
        <v>0</v>
      </c>
      <c r="I70" s="92">
        <v>0</v>
      </c>
      <c r="J70" s="92">
        <v>0</v>
      </c>
      <c r="K70" s="283">
        <v>0</v>
      </c>
      <c r="L70" s="283">
        <v>0</v>
      </c>
      <c r="M70" s="283">
        <v>0</v>
      </c>
      <c r="N70" s="162">
        <v>0</v>
      </c>
    </row>
    <row r="71" spans="1:14" x14ac:dyDescent="0.3">
      <c r="A71" s="154" t="s">
        <v>40</v>
      </c>
      <c r="B71" s="282">
        <f t="shared" si="2"/>
        <v>1262512200.3899999</v>
      </c>
      <c r="C71" s="92">
        <v>392406078.94999999</v>
      </c>
      <c r="D71" s="92">
        <v>203053407.46999997</v>
      </c>
      <c r="E71" s="92">
        <v>236751969.98999998</v>
      </c>
      <c r="F71" s="92">
        <v>301405658.93000001</v>
      </c>
      <c r="G71" s="92">
        <v>119884857.05000001</v>
      </c>
      <c r="H71" s="92">
        <v>5186870</v>
      </c>
      <c r="I71" s="92">
        <v>0</v>
      </c>
      <c r="J71" s="92">
        <v>2422138</v>
      </c>
      <c r="K71" s="92">
        <v>0</v>
      </c>
      <c r="L71" s="283">
        <v>0</v>
      </c>
      <c r="M71" s="283">
        <v>0</v>
      </c>
      <c r="N71" s="162">
        <v>1401220</v>
      </c>
    </row>
    <row r="72" spans="1:14" x14ac:dyDescent="0.3">
      <c r="A72" s="154" t="s">
        <v>41</v>
      </c>
      <c r="B72" s="282">
        <f t="shared" si="2"/>
        <v>20837346.530000001</v>
      </c>
      <c r="C72" s="92">
        <v>7777517.8399999999</v>
      </c>
      <c r="D72" s="92">
        <v>1716363.81</v>
      </c>
      <c r="E72" s="92">
        <v>4665851.41</v>
      </c>
      <c r="F72" s="92">
        <v>6677613.4700000007</v>
      </c>
      <c r="G72" s="92">
        <v>0</v>
      </c>
      <c r="H72" s="92">
        <v>0</v>
      </c>
      <c r="I72" s="92">
        <v>0</v>
      </c>
      <c r="J72" s="92">
        <v>0</v>
      </c>
      <c r="K72" s="283">
        <v>0</v>
      </c>
      <c r="L72" s="283">
        <v>0</v>
      </c>
      <c r="M72" s="283">
        <v>0</v>
      </c>
      <c r="N72" s="162">
        <v>0</v>
      </c>
    </row>
    <row r="73" spans="1:14" x14ac:dyDescent="0.3">
      <c r="A73" s="154" t="s">
        <v>145</v>
      </c>
      <c r="B73" s="282">
        <f t="shared" si="2"/>
        <v>8410448.0999999996</v>
      </c>
      <c r="C73" s="92">
        <v>3114951.1</v>
      </c>
      <c r="D73" s="92">
        <v>1569773</v>
      </c>
      <c r="E73" s="92">
        <v>1895763</v>
      </c>
      <c r="F73" s="92">
        <v>1829961</v>
      </c>
      <c r="G73" s="92">
        <v>0</v>
      </c>
      <c r="H73" s="92">
        <v>0</v>
      </c>
      <c r="I73" s="92">
        <v>0</v>
      </c>
      <c r="J73" s="92">
        <v>0</v>
      </c>
      <c r="K73" s="283">
        <v>0</v>
      </c>
      <c r="L73" s="283">
        <v>0</v>
      </c>
      <c r="M73" s="283">
        <v>0</v>
      </c>
      <c r="N73" s="162">
        <v>0</v>
      </c>
    </row>
    <row r="74" spans="1:14" ht="14" thickBot="1" x14ac:dyDescent="0.35">
      <c r="A74" s="154" t="s">
        <v>165</v>
      </c>
      <c r="B74" s="289">
        <f t="shared" si="2"/>
        <v>32915659.510000002</v>
      </c>
      <c r="C74" s="96">
        <v>32915659.510000002</v>
      </c>
      <c r="D74" s="168">
        <v>0</v>
      </c>
      <c r="E74" s="168">
        <v>0</v>
      </c>
      <c r="F74" s="168">
        <v>0</v>
      </c>
      <c r="G74" s="168">
        <v>0</v>
      </c>
      <c r="H74" s="168">
        <v>0</v>
      </c>
      <c r="I74" s="168">
        <v>0</v>
      </c>
      <c r="J74" s="168">
        <v>0</v>
      </c>
      <c r="K74" s="168">
        <v>0</v>
      </c>
      <c r="L74" s="292">
        <v>0</v>
      </c>
      <c r="M74" s="292">
        <v>0</v>
      </c>
      <c r="N74" s="168">
        <v>0</v>
      </c>
    </row>
    <row r="75" spans="1:14" ht="14" thickTop="1" x14ac:dyDescent="0.3">
      <c r="A75" s="45" t="s">
        <v>1</v>
      </c>
      <c r="B75" s="20">
        <f>SUM(C75:N75)</f>
        <v>4714186018.4899998</v>
      </c>
      <c r="C75" s="20">
        <f t="shared" ref="C75:N75" si="3">SUM(C56:C74)</f>
        <v>1368915611.4999995</v>
      </c>
      <c r="D75" s="20">
        <f t="shared" si="3"/>
        <v>770607975.98999977</v>
      </c>
      <c r="E75" s="20">
        <f t="shared" si="3"/>
        <v>981868197.96999979</v>
      </c>
      <c r="F75" s="20">
        <f t="shared" si="3"/>
        <v>1084257285.05</v>
      </c>
      <c r="G75" s="20">
        <f t="shared" si="3"/>
        <v>423927348.06999999</v>
      </c>
      <c r="H75" s="20">
        <f t="shared" si="3"/>
        <v>40807562.310000002</v>
      </c>
      <c r="I75" s="24">
        <f t="shared" si="3"/>
        <v>6335401.9699999997</v>
      </c>
      <c r="J75" s="24">
        <f t="shared" si="3"/>
        <v>4961159</v>
      </c>
      <c r="K75" s="24">
        <f t="shared" si="3"/>
        <v>0</v>
      </c>
      <c r="L75" s="24">
        <f t="shared" si="3"/>
        <v>3116700.21</v>
      </c>
      <c r="M75" s="24">
        <f t="shared" si="3"/>
        <v>0</v>
      </c>
      <c r="N75" s="24">
        <f t="shared" si="3"/>
        <v>29388776.419999998</v>
      </c>
    </row>
    <row r="76" spans="1:14" x14ac:dyDescent="0.3">
      <c r="A76" s="37"/>
      <c r="B76" s="38"/>
      <c r="C76" s="38"/>
      <c r="D76" s="38"/>
      <c r="E76" s="38"/>
      <c r="F76" s="38"/>
      <c r="G76" s="38"/>
      <c r="H76" s="38"/>
      <c r="I76" s="39"/>
      <c r="J76" s="39"/>
      <c r="K76" s="39"/>
      <c r="L76" s="39"/>
      <c r="M76" s="39"/>
      <c r="N76" s="39"/>
    </row>
    <row r="77" spans="1:14" x14ac:dyDescent="0.3">
      <c r="A77" s="37"/>
      <c r="B77" s="38"/>
      <c r="C77" s="38"/>
      <c r="D77" s="38"/>
      <c r="E77" s="38"/>
      <c r="F77" s="38"/>
      <c r="G77" s="38"/>
      <c r="H77" s="38"/>
      <c r="I77" s="39"/>
      <c r="J77" s="39"/>
      <c r="K77" s="39"/>
      <c r="L77" s="39"/>
      <c r="M77" s="39"/>
      <c r="N77" s="39"/>
    </row>
    <row r="79" spans="1:14" x14ac:dyDescent="0.3">
      <c r="A79" s="164" t="s">
        <v>226</v>
      </c>
      <c r="B79" s="164"/>
      <c r="C79" s="164"/>
      <c r="D79" s="164"/>
      <c r="E79" s="164"/>
      <c r="F79" s="164"/>
      <c r="G79" s="164"/>
      <c r="H79" s="164"/>
      <c r="I79" s="164"/>
      <c r="J79" s="164"/>
      <c r="K79" s="164"/>
      <c r="L79" s="164"/>
      <c r="M79" s="164"/>
      <c r="N79" s="164"/>
    </row>
    <row r="80" spans="1:14"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row>
    <row r="81" spans="1:16" x14ac:dyDescent="0.3">
      <c r="A81" s="12"/>
      <c r="B81" s="11"/>
      <c r="C81" s="13"/>
      <c r="D81" s="13"/>
      <c r="E81" s="17"/>
      <c r="F81" s="13"/>
      <c r="G81" s="13"/>
      <c r="H81" s="13"/>
      <c r="I81" s="13"/>
      <c r="J81" s="13"/>
      <c r="K81" s="13"/>
      <c r="L81" s="13"/>
      <c r="M81" s="13"/>
      <c r="N81" s="13"/>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row>
    <row r="83" spans="1:16" x14ac:dyDescent="0.3">
      <c r="A83" s="41" t="s">
        <v>182</v>
      </c>
      <c r="B83" s="71">
        <f>SUM(C83:N83)</f>
        <v>4713586714.4899998</v>
      </c>
      <c r="C83" s="137">
        <v>1368915611.4999995</v>
      </c>
      <c r="D83" s="33">
        <v>770008671.99000001</v>
      </c>
      <c r="E83" s="137">
        <v>981868197.97000003</v>
      </c>
      <c r="F83" s="137">
        <v>1084257285.05</v>
      </c>
      <c r="G83" s="137">
        <v>423927348.06999999</v>
      </c>
      <c r="H83" s="137">
        <v>40807562.310000002</v>
      </c>
      <c r="I83" s="50">
        <v>6335401.9699999997</v>
      </c>
      <c r="J83" s="50">
        <v>4961159</v>
      </c>
      <c r="K83" s="50">
        <v>0</v>
      </c>
      <c r="L83" s="50">
        <v>3116700.21</v>
      </c>
      <c r="M83" s="50">
        <v>0</v>
      </c>
      <c r="N83" s="50">
        <v>29388776.420000002</v>
      </c>
    </row>
    <row r="84" spans="1:16" x14ac:dyDescent="0.3">
      <c r="A84" s="49" t="s">
        <v>183</v>
      </c>
      <c r="B84" s="75">
        <f t="shared" ref="B84:B86" si="4">SUM(C84:N84)</f>
        <v>599304</v>
      </c>
      <c r="C84" s="33"/>
      <c r="D84" s="33">
        <v>599304</v>
      </c>
      <c r="E84" s="33"/>
      <c r="F84" s="33"/>
      <c r="G84" s="33"/>
      <c r="H84" s="33"/>
      <c r="I84" s="27"/>
      <c r="J84" s="27"/>
      <c r="K84" s="27"/>
      <c r="L84" s="27"/>
      <c r="M84" s="27"/>
      <c r="N84" s="27"/>
      <c r="O84" s="70"/>
    </row>
    <row r="85" spans="1:16" x14ac:dyDescent="0.3">
      <c r="A85" s="42" t="s">
        <v>184</v>
      </c>
      <c r="B85" s="75">
        <f t="shared" si="4"/>
        <v>0</v>
      </c>
      <c r="C85" s="31"/>
      <c r="D85" s="31"/>
      <c r="E85" s="32"/>
      <c r="F85" s="33"/>
      <c r="G85" s="33"/>
      <c r="H85" s="33"/>
      <c r="I85" s="27"/>
      <c r="J85" s="27"/>
      <c r="K85" s="27"/>
      <c r="L85" s="27"/>
      <c r="M85" s="27"/>
      <c r="N85" s="28"/>
    </row>
    <row r="86" spans="1:16" ht="14" thickBot="1" x14ac:dyDescent="0.35">
      <c r="A86" s="42" t="s">
        <v>185</v>
      </c>
      <c r="B86" s="75">
        <f t="shared" si="4"/>
        <v>0</v>
      </c>
      <c r="C86" s="31"/>
      <c r="D86" s="31"/>
      <c r="E86" s="32"/>
      <c r="F86" s="33"/>
      <c r="G86" s="33"/>
      <c r="H86" s="33"/>
      <c r="I86" s="27"/>
      <c r="J86" s="27"/>
      <c r="K86" s="27"/>
      <c r="L86" s="27"/>
      <c r="M86" s="27"/>
      <c r="N86" s="28"/>
    </row>
    <row r="87" spans="1:16" ht="14" thickTop="1" x14ac:dyDescent="0.3">
      <c r="A87" s="44" t="s">
        <v>1</v>
      </c>
      <c r="B87" s="22">
        <f t="shared" ref="B87:N87" si="5">SUM(B83:B86)</f>
        <v>4714186018.4899998</v>
      </c>
      <c r="C87" s="22">
        <f t="shared" si="5"/>
        <v>1368915611.4999995</v>
      </c>
      <c r="D87" s="22">
        <f t="shared" si="5"/>
        <v>770607975.99000001</v>
      </c>
      <c r="E87" s="22">
        <f t="shared" si="5"/>
        <v>981868197.97000003</v>
      </c>
      <c r="F87" s="22">
        <f t="shared" si="5"/>
        <v>1084257285.05</v>
      </c>
      <c r="G87" s="22">
        <f t="shared" si="5"/>
        <v>423927348.06999999</v>
      </c>
      <c r="H87" s="22">
        <f t="shared" si="5"/>
        <v>40807562.310000002</v>
      </c>
      <c r="I87" s="22">
        <f t="shared" si="5"/>
        <v>6335401.9699999997</v>
      </c>
      <c r="J87" s="22">
        <f t="shared" si="5"/>
        <v>4961159</v>
      </c>
      <c r="K87" s="22">
        <f t="shared" si="5"/>
        <v>0</v>
      </c>
      <c r="L87" s="22">
        <f t="shared" si="5"/>
        <v>3116700.21</v>
      </c>
      <c r="M87" s="22">
        <f t="shared" si="5"/>
        <v>0</v>
      </c>
      <c r="N87" s="23">
        <f t="shared" si="5"/>
        <v>29388776.420000002</v>
      </c>
    </row>
    <row r="88" spans="1:16" x14ac:dyDescent="0.3">
      <c r="A88" s="26"/>
      <c r="B88" s="40"/>
      <c r="C88" s="40"/>
      <c r="D88" s="40"/>
      <c r="E88" s="40"/>
      <c r="F88" s="40"/>
      <c r="G88" s="40"/>
      <c r="H88" s="40"/>
      <c r="I88" s="40"/>
      <c r="J88" s="40"/>
      <c r="K88" s="40"/>
      <c r="L88" s="40"/>
      <c r="M88" s="40"/>
      <c r="N88" s="40"/>
    </row>
    <row r="90" spans="1:16" x14ac:dyDescent="0.3">
      <c r="A90" s="164" t="s">
        <v>227</v>
      </c>
      <c r="B90" s="164"/>
      <c r="C90" s="164"/>
      <c r="D90" s="164"/>
      <c r="E90" s="164"/>
      <c r="F90" s="164"/>
      <c r="G90" s="164"/>
      <c r="H90" s="164"/>
      <c r="I90" s="164"/>
      <c r="J90" s="164"/>
      <c r="K90" s="164"/>
      <c r="L90" s="164"/>
      <c r="M90" s="164"/>
      <c r="N90" s="16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row>
    <row r="92" spans="1:16" x14ac:dyDescent="0.3">
      <c r="A92" s="46"/>
      <c r="B92" s="11"/>
      <c r="C92" s="13"/>
      <c r="D92" s="13"/>
      <c r="E92" s="17"/>
      <c r="F92" s="13"/>
      <c r="G92" s="13"/>
      <c r="H92" s="13"/>
      <c r="I92" s="13"/>
      <c r="J92" s="13"/>
      <c r="K92" s="13"/>
      <c r="L92" s="13"/>
      <c r="M92" s="13"/>
      <c r="N92" s="13"/>
      <c r="O92" s="69"/>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row>
    <row r="94" spans="1:16" x14ac:dyDescent="0.3">
      <c r="A94" s="42" t="s">
        <v>62</v>
      </c>
      <c r="B94" s="71">
        <f>SUM(C94:N94)</f>
        <v>513371065</v>
      </c>
      <c r="C94" s="72">
        <v>66124628.850000009</v>
      </c>
      <c r="D94" s="73">
        <v>68680066.090000004</v>
      </c>
      <c r="E94" s="73">
        <v>110035632.05</v>
      </c>
      <c r="F94" s="73">
        <v>156283636</v>
      </c>
      <c r="G94" s="73">
        <v>100946282</v>
      </c>
      <c r="H94" s="78">
        <v>4295000</v>
      </c>
      <c r="I94" s="74">
        <v>2054142.01</v>
      </c>
      <c r="J94" s="75">
        <v>2422138</v>
      </c>
      <c r="K94" s="71">
        <v>0</v>
      </c>
      <c r="L94" s="76">
        <v>0</v>
      </c>
      <c r="M94" s="76">
        <v>0</v>
      </c>
      <c r="N94" s="71">
        <v>2529540</v>
      </c>
    </row>
    <row r="95" spans="1:16" x14ac:dyDescent="0.3">
      <c r="A95" s="42" t="s">
        <v>63</v>
      </c>
      <c r="B95" s="75">
        <f t="shared" ref="B95:B98" si="6">SUM(C95:N95)</f>
        <v>1071232940.8100002</v>
      </c>
      <c r="C95" s="77">
        <v>229351934.63</v>
      </c>
      <c r="D95" s="78">
        <v>142897261.83000001</v>
      </c>
      <c r="E95" s="78">
        <v>219264280.20000002</v>
      </c>
      <c r="F95" s="78">
        <v>318946617.63999999</v>
      </c>
      <c r="G95" s="78">
        <v>137356434.31999999</v>
      </c>
      <c r="H95" s="78">
        <v>9475000</v>
      </c>
      <c r="I95" s="74">
        <v>0</v>
      </c>
      <c r="J95" s="75">
        <v>0</v>
      </c>
      <c r="K95" s="75">
        <v>0</v>
      </c>
      <c r="L95" s="74">
        <v>3116700.21</v>
      </c>
      <c r="M95" s="74">
        <v>0</v>
      </c>
      <c r="N95" s="75">
        <v>10824711.98</v>
      </c>
    </row>
    <row r="96" spans="1:16" x14ac:dyDescent="0.3">
      <c r="A96" s="42" t="s">
        <v>64</v>
      </c>
      <c r="B96" s="75">
        <f t="shared" si="6"/>
        <v>921787989.37999988</v>
      </c>
      <c r="C96" s="77">
        <v>234828070.74999994</v>
      </c>
      <c r="D96" s="78">
        <v>156438001.03999999</v>
      </c>
      <c r="E96" s="78">
        <v>190960943.96000001</v>
      </c>
      <c r="F96" s="78">
        <v>231577562.90000001</v>
      </c>
      <c r="G96" s="78">
        <v>101982131.19</v>
      </c>
      <c r="H96" s="78">
        <v>6001279.54</v>
      </c>
      <c r="I96" s="74">
        <v>0</v>
      </c>
      <c r="J96" s="75">
        <v>0</v>
      </c>
      <c r="K96" s="75">
        <v>0</v>
      </c>
      <c r="L96" s="74">
        <v>0</v>
      </c>
      <c r="M96" s="74">
        <v>0</v>
      </c>
      <c r="N96" s="75">
        <v>0</v>
      </c>
    </row>
    <row r="97" spans="1:15" x14ac:dyDescent="0.3">
      <c r="A97" s="42" t="s">
        <v>65</v>
      </c>
      <c r="B97" s="75">
        <f t="shared" si="6"/>
        <v>1258480061.4499998</v>
      </c>
      <c r="C97" s="77">
        <v>415144947.25999981</v>
      </c>
      <c r="D97" s="78">
        <v>218233250.92999995</v>
      </c>
      <c r="E97" s="78">
        <v>281723071.45999992</v>
      </c>
      <c r="F97" s="78">
        <v>252108560.47999996</v>
      </c>
      <c r="G97" s="78">
        <v>63090456.890000001</v>
      </c>
      <c r="H97" s="78">
        <v>18936282.77</v>
      </c>
      <c r="I97" s="74">
        <v>0</v>
      </c>
      <c r="J97" s="75">
        <v>2539021</v>
      </c>
      <c r="K97" s="75">
        <v>0</v>
      </c>
      <c r="L97" s="74">
        <v>0</v>
      </c>
      <c r="M97" s="74">
        <v>0</v>
      </c>
      <c r="N97" s="75">
        <v>6704470.6600000001</v>
      </c>
    </row>
    <row r="98" spans="1:15" ht="14" thickBot="1" x14ac:dyDescent="0.35">
      <c r="A98" s="43" t="s">
        <v>66</v>
      </c>
      <c r="B98" s="79">
        <f t="shared" si="6"/>
        <v>949313961.84999967</v>
      </c>
      <c r="C98" s="80">
        <v>423466030.00999975</v>
      </c>
      <c r="D98" s="80">
        <v>184359396.09999996</v>
      </c>
      <c r="E98" s="80">
        <v>179884270.30000004</v>
      </c>
      <c r="F98" s="80">
        <v>125340908.03</v>
      </c>
      <c r="G98" s="80">
        <v>20552043.670000002</v>
      </c>
      <c r="H98" s="80">
        <v>2100000</v>
      </c>
      <c r="I98" s="81">
        <v>4281259.96</v>
      </c>
      <c r="J98" s="79">
        <v>0</v>
      </c>
      <c r="K98" s="79">
        <v>0</v>
      </c>
      <c r="L98" s="81">
        <v>0</v>
      </c>
      <c r="M98" s="81">
        <v>0</v>
      </c>
      <c r="N98" s="79">
        <v>9330053.7800000012</v>
      </c>
    </row>
    <row r="99" spans="1:15" ht="14" thickTop="1" x14ac:dyDescent="0.3">
      <c r="A99" s="42" t="s">
        <v>1</v>
      </c>
      <c r="B99" s="82">
        <f>SUM(B94:B98)</f>
        <v>4714186018.4899998</v>
      </c>
      <c r="C99" s="82">
        <f>SUM(C94:C98)</f>
        <v>1368915611.4999995</v>
      </c>
      <c r="D99" s="82">
        <f t="shared" ref="D99:N99" si="7">SUM(D94:D98)</f>
        <v>770607975.99000001</v>
      </c>
      <c r="E99" s="82">
        <f t="shared" si="7"/>
        <v>981868197.97000003</v>
      </c>
      <c r="F99" s="82">
        <f t="shared" si="7"/>
        <v>1084257285.05</v>
      </c>
      <c r="G99" s="82">
        <f t="shared" si="7"/>
        <v>423927348.06999999</v>
      </c>
      <c r="H99" s="82">
        <f t="shared" si="7"/>
        <v>40807562.310000002</v>
      </c>
      <c r="I99" s="82">
        <f t="shared" si="7"/>
        <v>6335401.9699999997</v>
      </c>
      <c r="J99" s="82">
        <f t="shared" si="7"/>
        <v>4961159</v>
      </c>
      <c r="K99" s="82">
        <f t="shared" si="7"/>
        <v>0</v>
      </c>
      <c r="L99" s="82">
        <f t="shared" si="7"/>
        <v>3116700.21</v>
      </c>
      <c r="M99" s="82">
        <f t="shared" si="7"/>
        <v>0</v>
      </c>
      <c r="N99" s="82">
        <f t="shared" si="7"/>
        <v>29388776.420000002</v>
      </c>
      <c r="O99" s="70"/>
    </row>
    <row r="100" spans="1:15" x14ac:dyDescent="0.3">
      <c r="A100" s="26"/>
      <c r="B100" s="83"/>
      <c r="C100" s="83"/>
      <c r="D100" s="83"/>
      <c r="E100" s="83"/>
      <c r="F100" s="83"/>
      <c r="G100" s="83"/>
      <c r="H100" s="83"/>
      <c r="I100" s="83"/>
      <c r="J100" s="83"/>
      <c r="K100" s="83"/>
      <c r="L100" s="83"/>
      <c r="M100" s="83"/>
      <c r="N100" s="83"/>
      <c r="O100" s="67"/>
    </row>
    <row r="101" spans="1:15" x14ac:dyDescent="0.3">
      <c r="A101" s="67"/>
    </row>
    <row r="102" spans="1:15" x14ac:dyDescent="0.3">
      <c r="A102" s="164" t="s">
        <v>228</v>
      </c>
      <c r="B102" s="164"/>
      <c r="C102" s="164"/>
      <c r="D102" s="164"/>
      <c r="E102" s="164"/>
      <c r="F102" s="164"/>
      <c r="G102" s="164"/>
      <c r="H102" s="164"/>
      <c r="I102" s="164"/>
      <c r="J102" s="164"/>
      <c r="K102" s="164"/>
      <c r="L102" s="164"/>
      <c r="M102" s="164"/>
      <c r="N102" s="164"/>
    </row>
    <row r="103" spans="1:15" x14ac:dyDescent="0.3">
      <c r="A103" s="108"/>
      <c r="B103" s="109"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row>
    <row r="104" spans="1:15" x14ac:dyDescent="0.3">
      <c r="A104" s="46"/>
      <c r="B104" s="11"/>
      <c r="C104" s="13"/>
      <c r="D104" s="13"/>
      <c r="E104" s="17"/>
      <c r="F104" s="13"/>
      <c r="G104" s="13"/>
      <c r="H104" s="13"/>
      <c r="I104" s="13"/>
      <c r="J104" s="13"/>
      <c r="K104" s="13"/>
      <c r="L104" s="13"/>
      <c r="M104" s="13"/>
      <c r="N104" s="13"/>
    </row>
    <row r="105" spans="1:15" ht="27" x14ac:dyDescent="0.3">
      <c r="A105" s="47"/>
      <c r="B105" s="25" t="s">
        <v>4</v>
      </c>
      <c r="C105" s="15" t="s">
        <v>4</v>
      </c>
      <c r="D105" s="15" t="s">
        <v>4</v>
      </c>
      <c r="E105" s="14" t="s">
        <v>4</v>
      </c>
      <c r="F105" s="15" t="s">
        <v>4</v>
      </c>
      <c r="G105" s="15" t="s">
        <v>4</v>
      </c>
      <c r="H105" s="15" t="s">
        <v>4</v>
      </c>
      <c r="I105" s="15" t="s">
        <v>4</v>
      </c>
      <c r="J105" s="15" t="s">
        <v>4</v>
      </c>
      <c r="K105" s="15" t="s">
        <v>4</v>
      </c>
      <c r="L105" s="15" t="s">
        <v>4</v>
      </c>
      <c r="M105" s="15" t="s">
        <v>4</v>
      </c>
      <c r="N105" s="15" t="s">
        <v>4</v>
      </c>
    </row>
    <row r="106" spans="1:15" x14ac:dyDescent="0.3">
      <c r="A106" s="42" t="s">
        <v>201</v>
      </c>
      <c r="B106" s="140">
        <f t="shared" ref="B106:B109" si="8">SUM(C106:N106)</f>
        <v>4700200184.4900017</v>
      </c>
      <c r="C106" s="138">
        <v>1362308504.5000012</v>
      </c>
      <c r="D106" s="85">
        <v>766642423.98999989</v>
      </c>
      <c r="E106" s="85">
        <v>978455022.97000003</v>
      </c>
      <c r="F106" s="85">
        <v>1084257285.0500004</v>
      </c>
      <c r="G106" s="85">
        <v>423927348.07000005</v>
      </c>
      <c r="H106" s="85">
        <v>40807562.309999995</v>
      </c>
      <c r="I106" s="86">
        <v>6335401.9699999997</v>
      </c>
      <c r="J106" s="86">
        <v>4961159</v>
      </c>
      <c r="K106" s="86">
        <v>0</v>
      </c>
      <c r="L106" s="86">
        <v>3116700.21</v>
      </c>
      <c r="M106" s="86">
        <v>0</v>
      </c>
      <c r="N106" s="87">
        <v>29388776.420000002</v>
      </c>
    </row>
    <row r="107" spans="1:15" x14ac:dyDescent="0.3">
      <c r="A107" s="42" t="s">
        <v>202</v>
      </c>
      <c r="B107" s="88">
        <f t="shared" si="8"/>
        <v>12965834</v>
      </c>
      <c r="C107" s="89">
        <v>5587107</v>
      </c>
      <c r="D107" s="90">
        <v>3965552</v>
      </c>
      <c r="E107" s="90">
        <v>3413175</v>
      </c>
      <c r="F107" s="90">
        <v>0</v>
      </c>
      <c r="G107" s="90">
        <v>0</v>
      </c>
      <c r="H107" s="90">
        <v>0</v>
      </c>
      <c r="I107" s="91">
        <v>0</v>
      </c>
      <c r="J107" s="91">
        <v>0</v>
      </c>
      <c r="K107" s="91">
        <v>0</v>
      </c>
      <c r="L107" s="91">
        <v>0</v>
      </c>
      <c r="M107" s="91">
        <v>0</v>
      </c>
      <c r="N107" s="92">
        <v>0</v>
      </c>
    </row>
    <row r="108" spans="1:15" x14ac:dyDescent="0.3">
      <c r="A108" s="42" t="s">
        <v>58</v>
      </c>
      <c r="B108" s="88">
        <f t="shared" si="8"/>
        <v>1020000</v>
      </c>
      <c r="C108" s="89">
        <v>1020000</v>
      </c>
      <c r="D108" s="90">
        <v>0</v>
      </c>
      <c r="E108" s="90">
        <v>0</v>
      </c>
      <c r="F108" s="90">
        <v>0</v>
      </c>
      <c r="G108" s="90">
        <v>0</v>
      </c>
      <c r="H108" s="90">
        <v>0</v>
      </c>
      <c r="I108" s="91">
        <v>0</v>
      </c>
      <c r="J108" s="91">
        <v>0</v>
      </c>
      <c r="K108" s="91">
        <v>0</v>
      </c>
      <c r="L108" s="91">
        <v>0</v>
      </c>
      <c r="M108" s="91">
        <v>0</v>
      </c>
      <c r="N108" s="92">
        <v>0</v>
      </c>
    </row>
    <row r="109" spans="1:15" ht="14" thickBot="1" x14ac:dyDescent="0.35">
      <c r="A109" s="43" t="s">
        <v>203</v>
      </c>
      <c r="B109" s="148">
        <f t="shared" si="8"/>
        <v>0</v>
      </c>
      <c r="C109" s="89">
        <v>0</v>
      </c>
      <c r="D109" s="90">
        <v>0</v>
      </c>
      <c r="E109" s="90">
        <v>0</v>
      </c>
      <c r="F109" s="90">
        <v>0</v>
      </c>
      <c r="G109" s="90">
        <v>0</v>
      </c>
      <c r="H109" s="90">
        <v>0</v>
      </c>
      <c r="I109" s="91">
        <v>0</v>
      </c>
      <c r="J109" s="91">
        <v>0</v>
      </c>
      <c r="K109" s="91">
        <v>0</v>
      </c>
      <c r="L109" s="91">
        <v>0</v>
      </c>
      <c r="M109" s="91">
        <v>0</v>
      </c>
      <c r="N109" s="96">
        <v>0</v>
      </c>
    </row>
    <row r="110" spans="1:15" ht="14" thickTop="1" x14ac:dyDescent="0.3">
      <c r="A110" s="42" t="s">
        <v>1</v>
      </c>
      <c r="B110" s="139">
        <f t="shared" ref="B110:N110" si="9">SUM(B106:B109)</f>
        <v>4714186018.4900017</v>
      </c>
      <c r="C110" s="97">
        <f t="shared" si="9"/>
        <v>1368915611.5000012</v>
      </c>
      <c r="D110" s="97">
        <f t="shared" si="9"/>
        <v>770607975.98999989</v>
      </c>
      <c r="E110" s="97">
        <f t="shared" si="9"/>
        <v>981868197.97000003</v>
      </c>
      <c r="F110" s="97">
        <f t="shared" si="9"/>
        <v>1084257285.0500004</v>
      </c>
      <c r="G110" s="97">
        <f t="shared" si="9"/>
        <v>423927348.07000005</v>
      </c>
      <c r="H110" s="97">
        <f t="shared" si="9"/>
        <v>40807562.309999995</v>
      </c>
      <c r="I110" s="97">
        <f t="shared" si="9"/>
        <v>6335401.9699999997</v>
      </c>
      <c r="J110" s="97">
        <f t="shared" si="9"/>
        <v>4961159</v>
      </c>
      <c r="K110" s="97">
        <f t="shared" si="9"/>
        <v>0</v>
      </c>
      <c r="L110" s="97">
        <f t="shared" si="9"/>
        <v>3116700.21</v>
      </c>
      <c r="M110" s="97">
        <f t="shared" si="9"/>
        <v>0</v>
      </c>
      <c r="N110" s="98">
        <f t="shared" si="9"/>
        <v>29388776.420000002</v>
      </c>
    </row>
    <row r="111" spans="1:15" x14ac:dyDescent="0.3">
      <c r="A111" s="26"/>
      <c r="B111" s="99"/>
      <c r="C111" s="99"/>
      <c r="D111" s="99"/>
      <c r="E111" s="99"/>
      <c r="F111" s="99"/>
      <c r="G111" s="99"/>
      <c r="H111" s="99"/>
      <c r="I111" s="99"/>
      <c r="J111" s="99"/>
      <c r="K111" s="99"/>
      <c r="L111" s="99"/>
      <c r="M111" s="99"/>
      <c r="N111" s="99"/>
    </row>
    <row r="113" spans="1:15" x14ac:dyDescent="0.3">
      <c r="A113" s="164" t="s">
        <v>229</v>
      </c>
      <c r="B113" s="164"/>
      <c r="C113" s="164"/>
      <c r="D113" s="164"/>
      <c r="E113" s="164"/>
      <c r="F113" s="164"/>
      <c r="G113" s="164"/>
      <c r="H113" s="164"/>
      <c r="I113" s="164"/>
      <c r="J113" s="164"/>
      <c r="K113" s="164"/>
      <c r="L113" s="164"/>
      <c r="M113" s="164"/>
      <c r="N113" s="16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row>
    <row r="115" spans="1:15" x14ac:dyDescent="0.3">
      <c r="A115" s="48"/>
      <c r="B115" s="11"/>
      <c r="C115" s="13"/>
      <c r="D115" s="13"/>
      <c r="E115" s="17"/>
      <c r="F115" s="13"/>
      <c r="G115" s="13"/>
      <c r="H115" s="13"/>
      <c r="I115" s="13"/>
      <c r="J115" s="13"/>
      <c r="K115" s="13"/>
      <c r="L115" s="13"/>
      <c r="M115" s="13"/>
      <c r="N115" s="13"/>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row>
    <row r="117" spans="1:15" x14ac:dyDescent="0.3">
      <c r="A117" s="42" t="s">
        <v>57</v>
      </c>
      <c r="B117" s="137">
        <v>4714186018.4900017</v>
      </c>
      <c r="C117" s="137">
        <v>1368915611.5000012</v>
      </c>
      <c r="D117" s="137">
        <v>770607975.98999989</v>
      </c>
      <c r="E117" s="137">
        <v>981868197.97000003</v>
      </c>
      <c r="F117" s="137">
        <v>1084257285.0500004</v>
      </c>
      <c r="G117" s="137">
        <v>423927348.07000005</v>
      </c>
      <c r="H117" s="137">
        <v>40807562.309999995</v>
      </c>
      <c r="I117" s="50">
        <v>6335401.9699999997</v>
      </c>
      <c r="J117" s="50">
        <v>4961159</v>
      </c>
      <c r="K117" s="50">
        <v>0</v>
      </c>
      <c r="L117" s="50">
        <v>3116700.21</v>
      </c>
      <c r="M117" s="50">
        <v>0</v>
      </c>
      <c r="N117" s="50">
        <v>29388776.420000002</v>
      </c>
      <c r="O117" s="70"/>
    </row>
    <row r="118" spans="1:15" x14ac:dyDescent="0.3">
      <c r="A118" s="42" t="s">
        <v>67</v>
      </c>
      <c r="B118" s="100"/>
      <c r="C118" s="90"/>
      <c r="D118" s="90"/>
      <c r="E118" s="90"/>
      <c r="F118" s="90"/>
      <c r="G118" s="90"/>
      <c r="H118" s="90"/>
      <c r="I118" s="91"/>
      <c r="J118" s="91"/>
      <c r="K118" s="91"/>
      <c r="L118" s="91"/>
      <c r="M118" s="91"/>
      <c r="N118" s="91"/>
      <c r="O118" s="70"/>
    </row>
    <row r="119" spans="1:15" x14ac:dyDescent="0.3">
      <c r="A119" s="42" t="s">
        <v>68</v>
      </c>
      <c r="B119" s="100"/>
      <c r="C119" s="90"/>
      <c r="D119" s="90"/>
      <c r="E119" s="90"/>
      <c r="F119" s="90"/>
      <c r="G119" s="90"/>
      <c r="H119" s="90"/>
      <c r="I119" s="91"/>
      <c r="J119" s="91"/>
      <c r="K119" s="91"/>
      <c r="L119" s="91"/>
      <c r="M119" s="91"/>
      <c r="N119" s="91"/>
      <c r="O119" s="70"/>
    </row>
    <row r="120" spans="1:15" ht="14" thickBot="1" x14ac:dyDescent="0.35">
      <c r="A120" s="43" t="s">
        <v>69</v>
      </c>
      <c r="B120" s="93"/>
      <c r="C120" s="94"/>
      <c r="D120" s="94"/>
      <c r="E120" s="94"/>
      <c r="F120" s="94"/>
      <c r="G120" s="94"/>
      <c r="H120" s="94"/>
      <c r="I120" s="95"/>
      <c r="J120" s="95"/>
      <c r="K120" s="95"/>
      <c r="L120" s="95"/>
      <c r="M120" s="95"/>
      <c r="N120" s="95"/>
      <c r="O120" s="70"/>
    </row>
    <row r="121" spans="1:15" ht="14" thickTop="1" x14ac:dyDescent="0.3">
      <c r="A121" s="42" t="s">
        <v>1</v>
      </c>
      <c r="B121" s="97">
        <f>SUM(B117:B120)</f>
        <v>4714186018.4900017</v>
      </c>
      <c r="C121" s="97">
        <f>SUM(C117:C120)</f>
        <v>1368915611.5000012</v>
      </c>
      <c r="D121" s="97">
        <f t="shared" ref="D121:N121" si="10">SUM(D117:D120)</f>
        <v>770607975.98999989</v>
      </c>
      <c r="E121" s="97">
        <f t="shared" si="10"/>
        <v>981868197.97000003</v>
      </c>
      <c r="F121" s="97">
        <f t="shared" si="10"/>
        <v>1084257285.0500004</v>
      </c>
      <c r="G121" s="97">
        <f t="shared" si="10"/>
        <v>423927348.07000005</v>
      </c>
      <c r="H121" s="97">
        <f t="shared" si="10"/>
        <v>40807562.309999995</v>
      </c>
      <c r="I121" s="97">
        <f t="shared" si="10"/>
        <v>6335401.9699999997</v>
      </c>
      <c r="J121" s="97">
        <f t="shared" si="10"/>
        <v>4961159</v>
      </c>
      <c r="K121" s="97">
        <f t="shared" si="10"/>
        <v>0</v>
      </c>
      <c r="L121" s="97">
        <f t="shared" si="10"/>
        <v>3116700.21</v>
      </c>
      <c r="M121" s="97">
        <f t="shared" si="10"/>
        <v>0</v>
      </c>
      <c r="N121" s="97">
        <f t="shared" si="10"/>
        <v>29388776.420000002</v>
      </c>
      <c r="O121" s="70"/>
    </row>
    <row r="122" spans="1:15" x14ac:dyDescent="0.3">
      <c r="A122" s="26"/>
      <c r="B122" s="99"/>
      <c r="C122" s="99"/>
      <c r="D122" s="99"/>
      <c r="E122" s="99"/>
      <c r="F122" s="99"/>
      <c r="G122" s="99"/>
      <c r="H122" s="99"/>
      <c r="I122" s="99"/>
      <c r="J122" s="99"/>
      <c r="K122" s="99"/>
      <c r="L122" s="99"/>
      <c r="M122" s="99"/>
      <c r="N122" s="99"/>
      <c r="O122" s="67"/>
    </row>
    <row r="124" spans="1:15" x14ac:dyDescent="0.3">
      <c r="A124" s="164" t="s">
        <v>230</v>
      </c>
      <c r="B124" s="164"/>
      <c r="C124" s="164"/>
      <c r="D124" s="164"/>
      <c r="E124" s="164"/>
      <c r="F124" s="164"/>
      <c r="G124" s="164"/>
      <c r="H124" s="164"/>
      <c r="I124" s="164"/>
    </row>
    <row r="125" spans="1:15" ht="40.5" x14ac:dyDescent="0.3">
      <c r="A125" s="109" t="s">
        <v>50</v>
      </c>
      <c r="B125" s="109" t="s">
        <v>51</v>
      </c>
      <c r="C125" s="149" t="s">
        <v>204</v>
      </c>
      <c r="D125" s="149" t="s">
        <v>59</v>
      </c>
      <c r="E125" s="149" t="s">
        <v>61</v>
      </c>
      <c r="F125" s="149" t="s">
        <v>53</v>
      </c>
      <c r="G125" s="150" t="s">
        <v>60</v>
      </c>
      <c r="H125" s="151" t="s">
        <v>54</v>
      </c>
      <c r="I125" s="150" t="s">
        <v>55</v>
      </c>
    </row>
    <row r="126" spans="1:15" x14ac:dyDescent="0.3">
      <c r="A126" s="42" t="s">
        <v>97</v>
      </c>
      <c r="B126" s="70" t="s">
        <v>3</v>
      </c>
      <c r="C126" s="91">
        <v>343000000</v>
      </c>
      <c r="D126" s="277" t="s">
        <v>105</v>
      </c>
      <c r="E126" s="277">
        <v>42479</v>
      </c>
      <c r="F126" s="101" t="s">
        <v>56</v>
      </c>
      <c r="G126" s="101" t="s">
        <v>108</v>
      </c>
      <c r="H126" s="277" t="s">
        <v>114</v>
      </c>
      <c r="I126" s="143">
        <v>3</v>
      </c>
    </row>
    <row r="127" spans="1:15" x14ac:dyDescent="0.3">
      <c r="A127" s="42" t="s">
        <v>96</v>
      </c>
      <c r="B127" s="70" t="s">
        <v>3</v>
      </c>
      <c r="C127" s="91">
        <v>75000000</v>
      </c>
      <c r="D127" s="277" t="s">
        <v>104</v>
      </c>
      <c r="E127" s="277">
        <v>43173</v>
      </c>
      <c r="F127" s="101" t="s">
        <v>58</v>
      </c>
      <c r="G127" s="101" t="s">
        <v>109</v>
      </c>
      <c r="H127" s="277" t="s">
        <v>113</v>
      </c>
      <c r="I127" s="143">
        <v>5</v>
      </c>
    </row>
    <row r="128" spans="1:15" x14ac:dyDescent="0.3">
      <c r="A128" s="42" t="s">
        <v>99</v>
      </c>
      <c r="B128" s="70" t="s">
        <v>3</v>
      </c>
      <c r="C128" s="91">
        <v>634000000</v>
      </c>
      <c r="D128" s="277" t="s">
        <v>107</v>
      </c>
      <c r="E128" s="277">
        <v>42922</v>
      </c>
      <c r="F128" s="101" t="s">
        <v>56</v>
      </c>
      <c r="G128" s="101" t="s">
        <v>108</v>
      </c>
      <c r="H128" s="277" t="s">
        <v>116</v>
      </c>
      <c r="I128" s="143">
        <v>6</v>
      </c>
    </row>
    <row r="129" spans="1:9" x14ac:dyDescent="0.3">
      <c r="A129" s="42" t="s">
        <v>94</v>
      </c>
      <c r="B129" s="70" t="s">
        <v>3</v>
      </c>
      <c r="C129" s="91">
        <v>920000000</v>
      </c>
      <c r="D129" s="277" t="s">
        <v>102</v>
      </c>
      <c r="E129" s="277">
        <v>43357</v>
      </c>
      <c r="F129" s="101" t="s">
        <v>56</v>
      </c>
      <c r="G129" s="101" t="s">
        <v>108</v>
      </c>
      <c r="H129" s="277" t="s">
        <v>112</v>
      </c>
      <c r="I129" s="143">
        <v>7</v>
      </c>
    </row>
    <row r="130" spans="1:9" x14ac:dyDescent="0.3">
      <c r="A130" s="42" t="s">
        <v>95</v>
      </c>
      <c r="B130" s="70" t="s">
        <v>3</v>
      </c>
      <c r="C130" s="91">
        <v>264500000</v>
      </c>
      <c r="D130" s="277" t="s">
        <v>103</v>
      </c>
      <c r="E130" s="277">
        <v>42992</v>
      </c>
      <c r="F130" s="101" t="s">
        <v>56</v>
      </c>
      <c r="G130" s="101" t="s">
        <v>108</v>
      </c>
      <c r="H130" s="277" t="s">
        <v>112</v>
      </c>
      <c r="I130" s="143">
        <v>8</v>
      </c>
    </row>
    <row r="131" spans="1:9" x14ac:dyDescent="0.3">
      <c r="A131" s="42" t="s">
        <v>164</v>
      </c>
      <c r="B131" s="70" t="s">
        <v>3</v>
      </c>
      <c r="C131" s="91">
        <v>980000000</v>
      </c>
      <c r="D131" s="277">
        <f>E131-365</f>
        <v>43242</v>
      </c>
      <c r="E131" s="277">
        <v>43607</v>
      </c>
      <c r="F131" s="101" t="s">
        <v>56</v>
      </c>
      <c r="G131" s="101" t="s">
        <v>108</v>
      </c>
      <c r="H131" s="277">
        <v>41355</v>
      </c>
      <c r="I131" s="143">
        <v>9</v>
      </c>
    </row>
    <row r="132" spans="1:9" x14ac:dyDescent="0.3">
      <c r="A132" s="26" t="s">
        <v>167</v>
      </c>
      <c r="B132" s="70" t="s">
        <v>3</v>
      </c>
      <c r="C132" s="91">
        <v>395000000</v>
      </c>
      <c r="D132" s="277">
        <v>42464</v>
      </c>
      <c r="E132" s="277">
        <v>42829</v>
      </c>
      <c r="F132" s="101" t="s">
        <v>56</v>
      </c>
      <c r="G132" s="101" t="s">
        <v>108</v>
      </c>
      <c r="H132" s="277">
        <v>41367</v>
      </c>
      <c r="I132" s="143">
        <v>10</v>
      </c>
    </row>
    <row r="133" spans="1:9" x14ac:dyDescent="0.3">
      <c r="A133" s="26" t="s">
        <v>200</v>
      </c>
      <c r="B133" s="308" t="s">
        <v>3</v>
      </c>
      <c r="C133" s="92">
        <v>650000000</v>
      </c>
      <c r="D133" s="309">
        <v>43438</v>
      </c>
      <c r="E133" s="309">
        <v>43803</v>
      </c>
      <c r="F133" s="143" t="s">
        <v>58</v>
      </c>
      <c r="G133" s="143" t="s">
        <v>109</v>
      </c>
      <c r="H133" s="309">
        <v>41521</v>
      </c>
      <c r="I133" s="143">
        <v>11</v>
      </c>
    </row>
    <row r="134" spans="1:9" x14ac:dyDescent="0.3">
      <c r="A134" s="26" t="s">
        <v>206</v>
      </c>
      <c r="B134" s="308" t="s">
        <v>3</v>
      </c>
      <c r="C134" s="91">
        <v>445000000</v>
      </c>
      <c r="D134" s="277">
        <v>43640</v>
      </c>
      <c r="E134" s="277">
        <v>44006</v>
      </c>
      <c r="F134" s="101" t="s">
        <v>56</v>
      </c>
      <c r="G134" s="101" t="s">
        <v>108</v>
      </c>
      <c r="H134" s="309">
        <v>41663</v>
      </c>
      <c r="I134" s="143">
        <v>12</v>
      </c>
    </row>
    <row r="135" spans="1:9" ht="14" thickBot="1" x14ac:dyDescent="0.35">
      <c r="A135" s="43" t="s">
        <v>207</v>
      </c>
      <c r="B135" s="169" t="s">
        <v>3</v>
      </c>
      <c r="C135" s="95">
        <v>200000000</v>
      </c>
      <c r="D135" s="275">
        <v>44315</v>
      </c>
      <c r="E135" s="275">
        <v>44680</v>
      </c>
      <c r="F135" s="172" t="s">
        <v>56</v>
      </c>
      <c r="G135" s="171" t="s">
        <v>108</v>
      </c>
      <c r="H135" s="278">
        <v>41521</v>
      </c>
      <c r="I135" s="172">
        <v>13</v>
      </c>
    </row>
    <row r="136" spans="1:9" s="67" customFormat="1" ht="14" thickTop="1" x14ac:dyDescent="0.3">
      <c r="A136" s="26"/>
      <c r="C136" s="104"/>
      <c r="D136" s="102"/>
      <c r="E136" s="102"/>
      <c r="F136" s="105"/>
      <c r="I136" s="102"/>
    </row>
    <row r="137" spans="1:9" s="67" customFormat="1" x14ac:dyDescent="0.3">
      <c r="A137" s="26"/>
      <c r="C137" s="104"/>
      <c r="D137" s="102"/>
      <c r="E137" s="102"/>
      <c r="F137" s="105"/>
      <c r="I137" s="102"/>
    </row>
    <row r="138" spans="1:9" s="67" customFormat="1" x14ac:dyDescent="0.3">
      <c r="A138" s="164" t="s">
        <v>231</v>
      </c>
      <c r="B138" s="164"/>
      <c r="C138" s="164"/>
      <c r="D138" s="164"/>
      <c r="E138" s="164"/>
      <c r="F138" s="164"/>
      <c r="I138" s="102"/>
    </row>
    <row r="139" spans="1:9" s="67" customFormat="1" x14ac:dyDescent="0.3">
      <c r="A139" s="136" t="s">
        <v>119</v>
      </c>
      <c r="B139" s="19" t="s">
        <v>50</v>
      </c>
      <c r="C139" s="19" t="s">
        <v>120</v>
      </c>
      <c r="D139" s="19" t="s">
        <v>51</v>
      </c>
      <c r="E139" s="63" t="s">
        <v>121</v>
      </c>
      <c r="F139" s="63" t="s">
        <v>166</v>
      </c>
      <c r="I139" s="102"/>
    </row>
    <row r="140" spans="1:9" s="67" customFormat="1" x14ac:dyDescent="0.3">
      <c r="A140" s="8" t="s">
        <v>123</v>
      </c>
      <c r="B140" s="125" t="s">
        <v>124</v>
      </c>
      <c r="C140" s="125" t="s">
        <v>125</v>
      </c>
      <c r="D140" s="125" t="s">
        <v>3</v>
      </c>
      <c r="E140" s="92">
        <v>273737000</v>
      </c>
      <c r="F140" s="64" t="s">
        <v>126</v>
      </c>
      <c r="I140" s="102"/>
    </row>
    <row r="141" spans="1:9" s="67" customFormat="1" x14ac:dyDescent="0.3">
      <c r="A141" s="7" t="s">
        <v>168</v>
      </c>
      <c r="B141" s="126" t="s">
        <v>130</v>
      </c>
      <c r="C141" s="126" t="s">
        <v>128</v>
      </c>
      <c r="D141" s="126" t="s">
        <v>3</v>
      </c>
      <c r="E141" s="92">
        <v>25000000</v>
      </c>
      <c r="F141" s="64" t="s">
        <v>195</v>
      </c>
      <c r="I141" s="102"/>
    </row>
    <row r="142" spans="1:9" s="67" customFormat="1" x14ac:dyDescent="0.3">
      <c r="A142" s="7" t="s">
        <v>208</v>
      </c>
      <c r="B142" s="126" t="s">
        <v>213</v>
      </c>
      <c r="C142" s="126" t="s">
        <v>128</v>
      </c>
      <c r="D142" s="126" t="s">
        <v>3</v>
      </c>
      <c r="E142" s="91">
        <v>19000000</v>
      </c>
      <c r="F142" s="64" t="s">
        <v>129</v>
      </c>
      <c r="I142" s="102"/>
    </row>
    <row r="143" spans="1:9" s="67" customFormat="1" x14ac:dyDescent="0.3">
      <c r="A143" s="7" t="s">
        <v>209</v>
      </c>
      <c r="B143" s="126" t="s">
        <v>214</v>
      </c>
      <c r="C143" s="126" t="s">
        <v>128</v>
      </c>
      <c r="D143" s="126" t="s">
        <v>3</v>
      </c>
      <c r="E143" s="92">
        <v>141000000</v>
      </c>
      <c r="F143" s="64" t="s">
        <v>129</v>
      </c>
      <c r="I143" s="102"/>
    </row>
    <row r="144" spans="1:9" s="67" customFormat="1" x14ac:dyDescent="0.3">
      <c r="A144" s="7" t="s">
        <v>210</v>
      </c>
      <c r="B144" s="126" t="s">
        <v>215</v>
      </c>
      <c r="C144" s="126" t="s">
        <v>128</v>
      </c>
      <c r="D144" s="126" t="s">
        <v>3</v>
      </c>
      <c r="E144" s="92">
        <v>24000000</v>
      </c>
      <c r="F144" s="64" t="s">
        <v>129</v>
      </c>
      <c r="I144" s="102"/>
    </row>
    <row r="145" spans="1:11" s="67" customFormat="1" x14ac:dyDescent="0.3">
      <c r="A145" s="7" t="s">
        <v>171</v>
      </c>
      <c r="B145" s="126" t="s">
        <v>134</v>
      </c>
      <c r="C145" s="126" t="s">
        <v>128</v>
      </c>
      <c r="D145" s="126" t="s">
        <v>3</v>
      </c>
      <c r="E145" s="92">
        <v>25000000</v>
      </c>
      <c r="F145" s="64" t="s">
        <v>129</v>
      </c>
      <c r="I145" s="102"/>
    </row>
    <row r="146" spans="1:11" s="67" customFormat="1" x14ac:dyDescent="0.3">
      <c r="A146" s="7" t="s">
        <v>172</v>
      </c>
      <c r="B146" s="126" t="s">
        <v>178</v>
      </c>
      <c r="C146" s="126" t="s">
        <v>128</v>
      </c>
      <c r="D146" s="126" t="s">
        <v>3</v>
      </c>
      <c r="E146" s="92">
        <v>10000000</v>
      </c>
      <c r="F146" s="64" t="s">
        <v>129</v>
      </c>
      <c r="I146" s="102"/>
    </row>
    <row r="147" spans="1:11" s="67" customFormat="1" x14ac:dyDescent="0.3">
      <c r="A147" s="7" t="s">
        <v>187</v>
      </c>
      <c r="B147" s="126" t="s">
        <v>192</v>
      </c>
      <c r="C147" s="126" t="s">
        <v>128</v>
      </c>
      <c r="D147" s="126" t="s">
        <v>3</v>
      </c>
      <c r="E147" s="92">
        <v>50000000</v>
      </c>
      <c r="F147" s="64" t="s">
        <v>195</v>
      </c>
      <c r="I147" s="102"/>
    </row>
    <row r="148" spans="1:11" s="67" customFormat="1" x14ac:dyDescent="0.3">
      <c r="A148" s="7" t="s">
        <v>189</v>
      </c>
      <c r="B148" s="126" t="s">
        <v>193</v>
      </c>
      <c r="C148" s="126" t="s">
        <v>128</v>
      </c>
      <c r="D148" s="126" t="s">
        <v>3</v>
      </c>
      <c r="E148" s="92">
        <v>152000000</v>
      </c>
      <c r="F148" s="64" t="s">
        <v>129</v>
      </c>
      <c r="I148" s="102"/>
    </row>
    <row r="149" spans="1:11" s="67" customFormat="1" x14ac:dyDescent="0.3">
      <c r="A149" s="7" t="s">
        <v>211</v>
      </c>
      <c r="B149" s="126" t="s">
        <v>216</v>
      </c>
      <c r="C149" s="126" t="s">
        <v>128</v>
      </c>
      <c r="D149" s="126" t="s">
        <v>3</v>
      </c>
      <c r="E149" s="92">
        <v>124000000</v>
      </c>
      <c r="F149" s="64" t="s">
        <v>195</v>
      </c>
      <c r="I149" s="102"/>
    </row>
    <row r="150" spans="1:11" s="67" customFormat="1" x14ac:dyDescent="0.3">
      <c r="A150" s="7" t="s">
        <v>190</v>
      </c>
      <c r="B150" s="126" t="s">
        <v>194</v>
      </c>
      <c r="C150" s="126" t="s">
        <v>128</v>
      </c>
      <c r="D150" s="126" t="s">
        <v>3</v>
      </c>
      <c r="E150" s="92">
        <v>45000000</v>
      </c>
      <c r="F150" s="64" t="s">
        <v>129</v>
      </c>
      <c r="I150" s="102"/>
    </row>
    <row r="151" spans="1:11" s="67" customFormat="1" x14ac:dyDescent="0.3">
      <c r="A151" s="7" t="s">
        <v>175</v>
      </c>
      <c r="B151" s="126" t="s">
        <v>163</v>
      </c>
      <c r="C151" s="126" t="s">
        <v>128</v>
      </c>
      <c r="D151" s="126" t="s">
        <v>3</v>
      </c>
      <c r="E151" s="92">
        <v>25000000</v>
      </c>
      <c r="F151" s="64" t="s">
        <v>195</v>
      </c>
      <c r="I151" s="102"/>
    </row>
    <row r="152" spans="1:11" s="67" customFormat="1" ht="14" thickBot="1" x14ac:dyDescent="0.35">
      <c r="A152" s="3" t="s">
        <v>212</v>
      </c>
      <c r="B152" s="165" t="s">
        <v>217</v>
      </c>
      <c r="C152" s="165" t="s">
        <v>128</v>
      </c>
      <c r="D152" s="128" t="s">
        <v>3</v>
      </c>
      <c r="E152" s="96">
        <v>100000000</v>
      </c>
      <c r="F152" s="66" t="s">
        <v>129</v>
      </c>
      <c r="I152" s="102"/>
    </row>
    <row r="153" spans="1:11" s="67" customFormat="1" ht="14" thickTop="1" x14ac:dyDescent="0.3">
      <c r="A153" s="5" t="s">
        <v>1</v>
      </c>
      <c r="B153" s="166"/>
      <c r="C153" s="166"/>
      <c r="D153" s="166"/>
      <c r="E153" s="103">
        <f>SUM(E140:E152)</f>
        <v>1013737000</v>
      </c>
      <c r="F153" s="167"/>
      <c r="I153" s="102"/>
    </row>
    <row r="154" spans="1:11" s="67" customFormat="1" x14ac:dyDescent="0.3">
      <c r="A154" s="26"/>
      <c r="C154" s="104"/>
      <c r="D154" s="102"/>
      <c r="E154" s="102"/>
      <c r="F154" s="105"/>
      <c r="I154" s="102"/>
    </row>
    <row r="155" spans="1:11" x14ac:dyDescent="0.3">
      <c r="A155" s="67"/>
      <c r="B155" s="67"/>
      <c r="C155" s="67"/>
      <c r="D155" s="67"/>
      <c r="E155" s="67"/>
      <c r="F155" s="67"/>
      <c r="G155" s="67"/>
      <c r="H155" s="67"/>
      <c r="I155" s="67"/>
      <c r="J155" s="67"/>
      <c r="K155" s="67"/>
    </row>
    <row r="156" spans="1:11" x14ac:dyDescent="0.3">
      <c r="A156" s="164" t="s">
        <v>232</v>
      </c>
      <c r="B156" s="164"/>
      <c r="C156" s="164"/>
      <c r="D156" s="164"/>
      <c r="E156" s="164"/>
    </row>
    <row r="176" spans="1:1" x14ac:dyDescent="0.3">
      <c r="A176"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176"/>
  <sheetViews>
    <sheetView workbookViewId="0">
      <selection activeCell="B23" sqref="B23"/>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42004</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4873890856.7500029</v>
      </c>
      <c r="C7" s="121"/>
      <c r="D7" s="174"/>
      <c r="E7" s="119"/>
      <c r="F7" s="120"/>
      <c r="G7" s="55"/>
      <c r="H7" s="55"/>
      <c r="I7" s="67"/>
      <c r="J7" s="67"/>
      <c r="K7" s="67"/>
      <c r="L7" s="67"/>
      <c r="M7" s="67"/>
    </row>
    <row r="8" spans="1:13" x14ac:dyDescent="0.3">
      <c r="A8" s="56" t="s">
        <v>78</v>
      </c>
      <c r="B8" s="123">
        <f>B7/B9</f>
        <v>1070243.9298967947</v>
      </c>
      <c r="C8" s="121"/>
      <c r="D8" s="175"/>
      <c r="E8" s="119"/>
      <c r="F8" s="120"/>
      <c r="G8" s="55"/>
      <c r="H8" s="55"/>
      <c r="I8" s="67"/>
      <c r="J8" s="67"/>
      <c r="K8" s="67"/>
      <c r="L8" s="67"/>
      <c r="M8" s="67"/>
    </row>
    <row r="9" spans="1:13" x14ac:dyDescent="0.3">
      <c r="A9" s="56" t="s">
        <v>73</v>
      </c>
      <c r="B9" s="123">
        <v>4554</v>
      </c>
      <c r="C9" s="121"/>
      <c r="D9" s="174"/>
      <c r="E9" s="119"/>
      <c r="F9" s="120"/>
      <c r="G9" s="55"/>
      <c r="H9" s="55"/>
      <c r="I9" s="67"/>
      <c r="J9" s="67"/>
      <c r="K9" s="67"/>
      <c r="L9" s="67"/>
      <c r="M9" s="67"/>
    </row>
    <row r="10" spans="1:13" ht="13.5" customHeight="1" x14ac:dyDescent="0.3">
      <c r="A10" s="56" t="s">
        <v>79</v>
      </c>
      <c r="B10" s="56">
        <v>9.8483945190367388E-3</v>
      </c>
      <c r="C10" s="121"/>
      <c r="D10" s="118"/>
      <c r="E10" s="119"/>
      <c r="F10" s="120"/>
      <c r="G10" s="55"/>
      <c r="H10" s="55"/>
      <c r="I10" s="67"/>
      <c r="J10" s="67"/>
      <c r="K10" s="67"/>
      <c r="L10" s="67"/>
      <c r="M10" s="67"/>
    </row>
    <row r="11" spans="1:13" x14ac:dyDescent="0.3">
      <c r="A11" s="56" t="s">
        <v>74</v>
      </c>
      <c r="B11" s="123">
        <v>39</v>
      </c>
      <c r="C11" s="121"/>
      <c r="D11" s="118"/>
      <c r="E11" s="119"/>
      <c r="F11" s="120"/>
      <c r="G11" s="55"/>
      <c r="H11" s="55"/>
      <c r="I11" s="67"/>
      <c r="J11" s="67"/>
      <c r="K11" s="67"/>
      <c r="L11" s="67"/>
      <c r="M11" s="67"/>
    </row>
    <row r="12" spans="1:13" x14ac:dyDescent="0.3">
      <c r="A12" s="56" t="s">
        <v>81</v>
      </c>
      <c r="B12" s="123">
        <v>164</v>
      </c>
      <c r="C12" s="121"/>
      <c r="D12" s="118"/>
      <c r="E12" s="119"/>
      <c r="F12" s="120"/>
      <c r="G12" s="55"/>
      <c r="H12" s="55"/>
      <c r="I12" s="67"/>
      <c r="J12" s="67"/>
      <c r="K12" s="67"/>
      <c r="L12" s="67"/>
      <c r="M12" s="67"/>
    </row>
    <row r="13" spans="1:13" x14ac:dyDescent="0.3">
      <c r="A13" s="56" t="s">
        <v>75</v>
      </c>
      <c r="B13" s="123">
        <v>4350</v>
      </c>
      <c r="C13" s="121"/>
      <c r="D13" s="118"/>
      <c r="E13" s="119"/>
      <c r="F13" s="120"/>
      <c r="G13" s="55"/>
      <c r="H13" s="55"/>
      <c r="I13" s="295"/>
      <c r="J13" s="295"/>
      <c r="K13" s="67"/>
      <c r="L13" s="67"/>
      <c r="M13" s="67"/>
    </row>
    <row r="14" spans="1:13" x14ac:dyDescent="0.3">
      <c r="A14" s="56" t="s">
        <v>196</v>
      </c>
      <c r="B14" s="56">
        <v>0.49359999999999998</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f>SUM(B84:B86)/B7</f>
        <v>4.271972970253154E-4</v>
      </c>
      <c r="C17" s="121"/>
      <c r="D17" s="118"/>
      <c r="E17" s="119"/>
      <c r="F17" s="120"/>
      <c r="G17" s="55"/>
      <c r="H17" s="55"/>
      <c r="I17" s="295"/>
      <c r="J17" s="295"/>
      <c r="K17" s="67"/>
      <c r="L17" s="67"/>
      <c r="M17" s="67"/>
    </row>
    <row r="18" spans="1:13" x14ac:dyDescent="0.3">
      <c r="A18" s="56" t="s">
        <v>49</v>
      </c>
      <c r="B18" s="123">
        <f>E153</f>
        <v>886223000</v>
      </c>
      <c r="C18" s="121"/>
      <c r="D18" s="319"/>
      <c r="E18" s="320"/>
      <c r="F18" s="321"/>
      <c r="G18" s="306"/>
      <c r="H18" s="297"/>
      <c r="I18" s="297"/>
      <c r="J18" s="167"/>
      <c r="K18" s="67"/>
      <c r="L18" s="67"/>
      <c r="M18" s="67"/>
    </row>
    <row r="19" spans="1:13" x14ac:dyDescent="0.3">
      <c r="A19" s="57" t="s">
        <v>80</v>
      </c>
      <c r="B19" s="58">
        <v>5795898000</v>
      </c>
      <c r="C19" s="59"/>
      <c r="D19" s="311" t="s">
        <v>234</v>
      </c>
      <c r="E19" s="318" t="s">
        <v>235</v>
      </c>
      <c r="F19" s="321"/>
      <c r="G19" s="307"/>
      <c r="H19" s="297"/>
      <c r="I19" s="297"/>
      <c r="J19" s="167"/>
      <c r="K19" s="67"/>
      <c r="L19" s="67"/>
      <c r="M19" s="67"/>
    </row>
    <row r="20" spans="1:13" x14ac:dyDescent="0.3">
      <c r="A20" s="305" t="s">
        <v>197</v>
      </c>
      <c r="B20" s="310">
        <f>$B$19/E20-1</f>
        <v>0.16525781782936155</v>
      </c>
      <c r="C20" s="59"/>
      <c r="D20" s="312"/>
      <c r="E20" s="318">
        <v>4973919000</v>
      </c>
      <c r="F20" s="321"/>
      <c r="G20" s="307"/>
      <c r="H20" s="297"/>
      <c r="I20" s="297"/>
      <c r="J20" s="167"/>
      <c r="K20" s="67"/>
      <c r="L20" s="67"/>
      <c r="M20" s="67"/>
    </row>
    <row r="21" spans="1:13" x14ac:dyDescent="0.3">
      <c r="A21" s="305" t="s">
        <v>198</v>
      </c>
      <c r="B21" s="310">
        <f>($B$19-D21)/E20-1</f>
        <v>0.1338364130150993</v>
      </c>
      <c r="C21" s="59"/>
      <c r="D21" s="318">
        <v>156287522.41235057</v>
      </c>
      <c r="E21" s="318"/>
      <c r="F21" s="321"/>
      <c r="G21" s="307"/>
      <c r="H21" s="297"/>
      <c r="I21" s="297"/>
      <c r="J21" s="167"/>
      <c r="K21" s="67"/>
      <c r="L21" s="67"/>
      <c r="M21" s="67"/>
    </row>
    <row r="22" spans="1:13" x14ac:dyDescent="0.3">
      <c r="A22" s="305" t="s">
        <v>233</v>
      </c>
      <c r="B22" s="310">
        <f>($B$19-D22)/E20-1</f>
        <v>8.6947495890961735E-2</v>
      </c>
      <c r="C22" s="59"/>
      <c r="D22" s="318">
        <v>389509198.18552399</v>
      </c>
      <c r="E22" s="318"/>
      <c r="F22" s="321"/>
      <c r="G22" s="307"/>
      <c r="H22" s="297"/>
      <c r="I22" s="297"/>
      <c r="J22" s="167"/>
      <c r="K22" s="67"/>
      <c r="L22" s="67"/>
      <c r="M22" s="67"/>
    </row>
    <row r="23" spans="1:13" s="54" customFormat="1" x14ac:dyDescent="0.3">
      <c r="A23" s="59"/>
      <c r="B23" s="60"/>
      <c r="C23" s="59"/>
      <c r="D23" s="322"/>
      <c r="E23" s="323"/>
      <c r="F23" s="321"/>
      <c r="G23" s="306"/>
      <c r="H23" s="297"/>
      <c r="I23" s="297"/>
      <c r="J23" s="167"/>
      <c r="K23" s="55"/>
      <c r="L23" s="55"/>
      <c r="M23" s="55"/>
    </row>
    <row r="24" spans="1:13" x14ac:dyDescent="0.3">
      <c r="F24" s="186"/>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1446164711.0415819</v>
      </c>
      <c r="C28" s="129">
        <v>2637</v>
      </c>
      <c r="D28" s="64">
        <f t="shared" ref="D28:D37" si="0">B28/$B$40</f>
        <v>0.29671667945513053</v>
      </c>
      <c r="E28" s="173"/>
      <c r="F28" s="186"/>
      <c r="G28" s="186"/>
      <c r="H28" s="297"/>
      <c r="I28" s="298"/>
      <c r="J28" s="167"/>
      <c r="K28" s="67"/>
      <c r="L28" s="67"/>
      <c r="M28" s="67"/>
    </row>
    <row r="29" spans="1:13" ht="14.5" x14ac:dyDescent="0.35">
      <c r="A29" s="6" t="s">
        <v>7</v>
      </c>
      <c r="B29" s="126">
        <v>810410401.90697241</v>
      </c>
      <c r="C29" s="129">
        <v>542</v>
      </c>
      <c r="D29" s="64">
        <f t="shared" si="0"/>
        <v>0.16627586167314559</v>
      </c>
      <c r="E29" s="173"/>
      <c r="F29" s="116"/>
      <c r="G29" s="116"/>
      <c r="H29" s="116"/>
      <c r="I29" s="116"/>
      <c r="J29" s="167"/>
      <c r="K29" s="67"/>
      <c r="L29" s="67"/>
      <c r="M29" s="67"/>
    </row>
    <row r="30" spans="1:13" ht="14.5" x14ac:dyDescent="0.35">
      <c r="A30" s="6" t="s">
        <v>8</v>
      </c>
      <c r="B30" s="126">
        <v>1025608561.4811767</v>
      </c>
      <c r="C30" s="129">
        <v>582</v>
      </c>
      <c r="D30" s="64">
        <f t="shared" si="0"/>
        <v>0.21042911949100784</v>
      </c>
      <c r="E30" s="173"/>
      <c r="F30" s="59"/>
      <c r="G30" s="59"/>
      <c r="H30" s="59"/>
      <c r="I30" s="59"/>
      <c r="J30" s="167"/>
      <c r="K30" s="67"/>
      <c r="L30" s="67"/>
      <c r="M30" s="67"/>
    </row>
    <row r="31" spans="1:13" ht="14.5" x14ac:dyDescent="0.35">
      <c r="A31" s="6" t="s">
        <v>9</v>
      </c>
      <c r="B31" s="126">
        <v>1159679890.2951818</v>
      </c>
      <c r="C31" s="129">
        <v>593</v>
      </c>
      <c r="D31" s="64">
        <f t="shared" si="0"/>
        <v>0.23793718907125408</v>
      </c>
      <c r="E31" s="173"/>
      <c r="F31" s="316"/>
      <c r="G31" s="317"/>
      <c r="H31" s="317"/>
      <c r="I31" s="176"/>
      <c r="J31" s="167"/>
      <c r="K31" s="67"/>
      <c r="L31" s="67"/>
      <c r="M31" s="67"/>
    </row>
    <row r="32" spans="1:13" ht="14.5" x14ac:dyDescent="0.35">
      <c r="A32" s="6" t="s">
        <v>140</v>
      </c>
      <c r="B32" s="126">
        <v>346837169.86595261</v>
      </c>
      <c r="C32" s="129">
        <v>166</v>
      </c>
      <c r="D32" s="64">
        <f t="shared" si="0"/>
        <v>7.1162276723042969E-2</v>
      </c>
      <c r="E32" s="173"/>
      <c r="F32" s="304"/>
      <c r="G32" s="297"/>
      <c r="H32" s="297"/>
      <c r="I32" s="121"/>
      <c r="J32" s="167"/>
      <c r="K32" s="67"/>
      <c r="L32" s="67"/>
      <c r="M32" s="67"/>
    </row>
    <row r="33" spans="1:13" ht="14.5" x14ac:dyDescent="0.35">
      <c r="A33" s="6" t="s">
        <v>141</v>
      </c>
      <c r="B33" s="126">
        <v>49799855.277976468</v>
      </c>
      <c r="C33" s="129">
        <v>20</v>
      </c>
      <c r="D33" s="64">
        <f t="shared" si="0"/>
        <v>1.0217679620175965E-2</v>
      </c>
      <c r="E33" s="173"/>
      <c r="F33" s="304"/>
      <c r="G33" s="297"/>
      <c r="H33" s="297"/>
      <c r="I33" s="121"/>
      <c r="J33" s="303"/>
      <c r="K33" s="67"/>
      <c r="L33" s="67"/>
      <c r="M33" s="67"/>
    </row>
    <row r="34" spans="1:13" ht="14.5" x14ac:dyDescent="0.35">
      <c r="A34" s="6" t="s">
        <v>10</v>
      </c>
      <c r="B34" s="126">
        <v>9797105.3558856267</v>
      </c>
      <c r="C34" s="129">
        <v>5</v>
      </c>
      <c r="D34" s="64">
        <f t="shared" si="0"/>
        <v>2.0101199726943646E-3</v>
      </c>
      <c r="E34" s="173"/>
      <c r="F34" s="304"/>
      <c r="G34" s="297"/>
      <c r="H34" s="297"/>
      <c r="I34" s="121"/>
      <c r="J34" s="295"/>
      <c r="K34" s="67"/>
      <c r="L34" s="67"/>
      <c r="M34" s="67"/>
    </row>
    <row r="35" spans="1:13" ht="14.5" x14ac:dyDescent="0.35">
      <c r="A35" s="6" t="s">
        <v>11</v>
      </c>
      <c r="B35" s="134">
        <v>2531376.1656299741</v>
      </c>
      <c r="C35" s="135">
        <v>1</v>
      </c>
      <c r="D35" s="64">
        <f t="shared" si="0"/>
        <v>5.1937481573355163E-4</v>
      </c>
      <c r="E35" s="173"/>
      <c r="F35" s="304"/>
      <c r="G35" s="297"/>
      <c r="H35" s="297"/>
      <c r="I35" s="121"/>
      <c r="J35" s="67"/>
      <c r="K35" s="67"/>
      <c r="L35" s="67"/>
      <c r="M35" s="67"/>
    </row>
    <row r="36" spans="1:13" ht="14.5" x14ac:dyDescent="0.35">
      <c r="A36" s="6" t="s">
        <v>12</v>
      </c>
      <c r="B36" s="130">
        <v>0</v>
      </c>
      <c r="C36" s="131"/>
      <c r="D36" s="64">
        <f t="shared" si="0"/>
        <v>0</v>
      </c>
      <c r="E36" s="173"/>
      <c r="F36" s="304"/>
      <c r="G36" s="297"/>
      <c r="H36" s="297"/>
      <c r="I36" s="121"/>
      <c r="J36" s="67"/>
      <c r="K36" s="67"/>
      <c r="L36" s="67"/>
      <c r="M36" s="67"/>
    </row>
    <row r="37" spans="1:13" ht="14.5" x14ac:dyDescent="0.35">
      <c r="A37" s="6" t="s">
        <v>13</v>
      </c>
      <c r="B37" s="130">
        <v>3400583.2764170202</v>
      </c>
      <c r="C37" s="131">
        <v>1</v>
      </c>
      <c r="D37" s="64">
        <f t="shared" si="0"/>
        <v>6.9771428543736211E-4</v>
      </c>
      <c r="E37" s="173"/>
      <c r="F37" s="304"/>
      <c r="G37" s="297"/>
      <c r="H37" s="297"/>
      <c r="I37" s="121"/>
      <c r="J37" s="67"/>
      <c r="K37" s="67"/>
      <c r="L37" s="67"/>
      <c r="M37" s="67"/>
    </row>
    <row r="38" spans="1:13" ht="14.5" x14ac:dyDescent="0.35">
      <c r="A38" s="6" t="s">
        <v>14</v>
      </c>
      <c r="B38" s="130">
        <v>4417728.8866761532</v>
      </c>
      <c r="C38" s="131">
        <v>1</v>
      </c>
      <c r="D38" s="64">
        <f>B38/$B$40</f>
        <v>9.064070198777439E-4</v>
      </c>
      <c r="E38" s="173"/>
      <c r="F38" s="304"/>
      <c r="G38" s="297"/>
      <c r="H38" s="297"/>
      <c r="I38" s="121"/>
      <c r="J38" s="67"/>
      <c r="K38" s="67"/>
      <c r="L38" s="67"/>
      <c r="M38" s="67"/>
    </row>
    <row r="39" spans="1:13" ht="15" thickBot="1" x14ac:dyDescent="0.4">
      <c r="A39" s="4" t="s">
        <v>15</v>
      </c>
      <c r="B39" s="132">
        <v>15243473.196552716</v>
      </c>
      <c r="C39" s="287">
        <v>6</v>
      </c>
      <c r="D39" s="65">
        <f>B39/$B$40</f>
        <v>3.1275778725002755E-3</v>
      </c>
      <c r="E39" s="173"/>
      <c r="F39" s="304"/>
      <c r="G39" s="298"/>
      <c r="H39" s="298"/>
      <c r="I39" s="121"/>
      <c r="J39" s="67"/>
      <c r="K39" s="67"/>
      <c r="L39" s="67"/>
      <c r="M39" s="67"/>
    </row>
    <row r="40" spans="1:13" ht="15" thickTop="1" x14ac:dyDescent="0.35">
      <c r="A40" s="1" t="s">
        <v>1</v>
      </c>
      <c r="B40" s="18">
        <f>SUM(B28:B39)</f>
        <v>4873890856.7500019</v>
      </c>
      <c r="C40" s="133">
        <f>SUM(C28:C39)</f>
        <v>4554</v>
      </c>
      <c r="D40" s="300">
        <f>SUM(D28:D39)</f>
        <v>1.0000000000000002</v>
      </c>
      <c r="E40" s="173"/>
      <c r="F40" s="304"/>
      <c r="G40" s="299"/>
      <c r="H40" s="299"/>
      <c r="I40" s="121"/>
    </row>
    <row r="41" spans="1:13" x14ac:dyDescent="0.3">
      <c r="F41" s="304"/>
      <c r="G41" s="299"/>
      <c r="H41" s="299"/>
      <c r="I41" s="121"/>
    </row>
    <row r="42" spans="1:13" x14ac:dyDescent="0.3">
      <c r="F42" s="304"/>
      <c r="G42" s="299"/>
      <c r="H42" s="299"/>
      <c r="I42" s="121"/>
    </row>
    <row r="43" spans="1:13" x14ac:dyDescent="0.3">
      <c r="A43" s="163" t="s">
        <v>218</v>
      </c>
      <c r="B43" s="164"/>
      <c r="C43" s="163"/>
      <c r="D43" s="164"/>
      <c r="F43" s="304"/>
      <c r="G43" s="299"/>
      <c r="H43" s="299"/>
      <c r="I43" s="121"/>
    </row>
    <row r="44" spans="1:13" x14ac:dyDescent="0.3">
      <c r="A44" s="106"/>
      <c r="B44" s="106"/>
      <c r="C44" s="106"/>
      <c r="D44" s="106"/>
      <c r="F44" s="304"/>
      <c r="G44" s="301"/>
      <c r="H44" s="302"/>
      <c r="I44" s="303"/>
    </row>
    <row r="45" spans="1:13" x14ac:dyDescent="0.3">
      <c r="A45" s="9" t="s">
        <v>219</v>
      </c>
      <c r="B45" s="10" t="s">
        <v>4</v>
      </c>
      <c r="C45" s="10" t="s">
        <v>5</v>
      </c>
      <c r="D45" s="63" t="s">
        <v>17</v>
      </c>
    </row>
    <row r="46" spans="1:13" x14ac:dyDescent="0.3">
      <c r="A46" s="6" t="s">
        <v>220</v>
      </c>
      <c r="B46" s="126">
        <v>200517613.8394061</v>
      </c>
      <c r="C46" s="129">
        <v>1534</v>
      </c>
      <c r="D46" s="64">
        <f>B46/$B$40</f>
        <v>4.1141178523048598E-2</v>
      </c>
      <c r="E46" s="279"/>
    </row>
    <row r="47" spans="1:13" x14ac:dyDescent="0.3">
      <c r="A47" s="6" t="s">
        <v>221</v>
      </c>
      <c r="B47" s="126">
        <v>712178916.61596906</v>
      </c>
      <c r="C47" s="129">
        <v>915</v>
      </c>
      <c r="D47" s="64">
        <f t="shared" ref="D47:D49" si="1">B47/$B$40</f>
        <v>0.14612122789529652</v>
      </c>
      <c r="E47" s="279"/>
    </row>
    <row r="48" spans="1:13" x14ac:dyDescent="0.3">
      <c r="A48" s="6" t="s">
        <v>222</v>
      </c>
      <c r="B48" s="126">
        <v>2207630182.4922466</v>
      </c>
      <c r="C48" s="129">
        <v>1474</v>
      </c>
      <c r="D48" s="64">
        <f t="shared" si="1"/>
        <v>0.45295027061076498</v>
      </c>
      <c r="E48" s="279"/>
    </row>
    <row r="49" spans="1:14" x14ac:dyDescent="0.3">
      <c r="A49" s="6" t="s">
        <v>223</v>
      </c>
      <c r="B49" s="126">
        <v>1197487138.8501928</v>
      </c>
      <c r="C49" s="129">
        <v>483</v>
      </c>
      <c r="D49" s="64">
        <f t="shared" si="1"/>
        <v>0.24569428697644222</v>
      </c>
      <c r="E49" s="279"/>
    </row>
    <row r="50" spans="1:14" ht="14" thickBot="1" x14ac:dyDescent="0.35">
      <c r="A50" s="4" t="s">
        <v>224</v>
      </c>
      <c r="B50" s="132">
        <v>556077004.95218849</v>
      </c>
      <c r="C50" s="287">
        <v>148</v>
      </c>
      <c r="D50" s="65">
        <f>B50/$B$40</f>
        <v>0.11409303599444791</v>
      </c>
      <c r="E50" s="279"/>
    </row>
    <row r="51" spans="1:14" ht="14" thickTop="1" x14ac:dyDescent="0.3">
      <c r="A51" s="1" t="s">
        <v>1</v>
      </c>
      <c r="B51" s="18">
        <f>SUM(B46:B50)</f>
        <v>4873890856.7500029</v>
      </c>
      <c r="C51" s="133">
        <f>SUM(C46:C50)</f>
        <v>4554</v>
      </c>
      <c r="D51" s="300">
        <f>SUM(D46:D50)</f>
        <v>1.0000000000000002</v>
      </c>
    </row>
    <row r="54" spans="1:14" x14ac:dyDescent="0.3">
      <c r="A54" s="164" t="s">
        <v>225</v>
      </c>
      <c r="B54" s="164"/>
      <c r="C54" s="164"/>
      <c r="D54" s="293"/>
      <c r="E54" s="293"/>
      <c r="F54" s="293"/>
      <c r="G54" s="293"/>
      <c r="H54" s="293"/>
      <c r="I54" s="293"/>
      <c r="J54" s="293"/>
      <c r="K54" s="164"/>
      <c r="L54" s="164"/>
      <c r="M54" s="164"/>
      <c r="N54" s="164"/>
    </row>
    <row r="55" spans="1:14" s="68" customFormat="1" x14ac:dyDescent="0.3">
      <c r="A55" s="107"/>
      <c r="B55" s="155" t="s">
        <v>1</v>
      </c>
      <c r="C55" s="158" t="s">
        <v>18</v>
      </c>
      <c r="D55" s="281" t="s">
        <v>19</v>
      </c>
      <c r="E55" s="281" t="s">
        <v>20</v>
      </c>
      <c r="F55" s="281" t="s">
        <v>21</v>
      </c>
      <c r="G55" s="281" t="s">
        <v>138</v>
      </c>
      <c r="H55" s="281" t="s">
        <v>139</v>
      </c>
      <c r="I55" s="281" t="s">
        <v>22</v>
      </c>
      <c r="J55" s="281" t="s">
        <v>23</v>
      </c>
      <c r="K55" s="313" t="s">
        <v>24</v>
      </c>
      <c r="L55" s="281" t="s">
        <v>25</v>
      </c>
      <c r="M55" s="159" t="s">
        <v>26</v>
      </c>
      <c r="N55" s="160" t="s">
        <v>27</v>
      </c>
    </row>
    <row r="56" spans="1:14" x14ac:dyDescent="0.3">
      <c r="A56" s="153" t="s">
        <v>28</v>
      </c>
      <c r="B56" s="288">
        <f t="shared" ref="B56:B74" si="2">SUM(C56:N56)</f>
        <v>155578430.94212839</v>
      </c>
      <c r="C56" s="87">
        <v>45188447.255217865</v>
      </c>
      <c r="D56" s="87">
        <v>46265504.358297788</v>
      </c>
      <c r="E56" s="87">
        <v>34906040.925864317</v>
      </c>
      <c r="F56" s="87">
        <v>27026877.351783171</v>
      </c>
      <c r="G56" s="87">
        <v>2191561.0509652882</v>
      </c>
      <c r="H56" s="87">
        <v>0</v>
      </c>
      <c r="I56" s="87">
        <v>0</v>
      </c>
      <c r="J56" s="87">
        <v>0</v>
      </c>
      <c r="K56" s="283">
        <v>0</v>
      </c>
      <c r="L56" s="291">
        <v>0</v>
      </c>
      <c r="M56" s="291">
        <v>0</v>
      </c>
      <c r="N56" s="161">
        <v>0</v>
      </c>
    </row>
    <row r="57" spans="1:14" x14ac:dyDescent="0.3">
      <c r="A57" s="154" t="s">
        <v>29</v>
      </c>
      <c r="B57" s="282">
        <f>SUM(C57:N57)</f>
        <v>175825673.81420255</v>
      </c>
      <c r="C57" s="92">
        <v>34931905.550322592</v>
      </c>
      <c r="D57" s="92">
        <v>23356717.386130854</v>
      </c>
      <c r="E57" s="92">
        <v>51634208.716307953</v>
      </c>
      <c r="F57" s="92">
        <v>58881788.541186102</v>
      </c>
      <c r="G57" s="92">
        <v>3296082.0160392704</v>
      </c>
      <c r="H57" s="92">
        <v>1388977.5376022086</v>
      </c>
      <c r="I57" s="92">
        <v>2335994.0666135615</v>
      </c>
      <c r="J57" s="92">
        <v>0</v>
      </c>
      <c r="K57" s="283">
        <v>0</v>
      </c>
      <c r="L57" s="283">
        <v>0</v>
      </c>
      <c r="M57" s="283">
        <v>0</v>
      </c>
      <c r="N57" s="162">
        <v>0</v>
      </c>
    </row>
    <row r="58" spans="1:14" x14ac:dyDescent="0.3">
      <c r="A58" s="154" t="s">
        <v>30</v>
      </c>
      <c r="B58" s="282">
        <f t="shared" si="2"/>
        <v>23547786.866417654</v>
      </c>
      <c r="C58" s="92">
        <v>2359970.6480466607</v>
      </c>
      <c r="D58" s="92">
        <v>5017096.5291873943</v>
      </c>
      <c r="E58" s="92">
        <v>8546929.189238729</v>
      </c>
      <c r="F58" s="92">
        <v>7623790.4999448676</v>
      </c>
      <c r="G58" s="92">
        <v>0</v>
      </c>
      <c r="H58" s="92">
        <v>0</v>
      </c>
      <c r="I58" s="92">
        <v>0</v>
      </c>
      <c r="J58" s="92">
        <v>0</v>
      </c>
      <c r="K58" s="283">
        <v>0</v>
      </c>
      <c r="L58" s="283">
        <v>0</v>
      </c>
      <c r="M58" s="283">
        <v>0</v>
      </c>
      <c r="N58" s="162">
        <v>0</v>
      </c>
    </row>
    <row r="59" spans="1:14" x14ac:dyDescent="0.3">
      <c r="A59" s="154" t="s">
        <v>31</v>
      </c>
      <c r="B59" s="282">
        <f t="shared" si="2"/>
        <v>4793015.5693144463</v>
      </c>
      <c r="C59" s="92">
        <v>0</v>
      </c>
      <c r="D59" s="92">
        <v>0</v>
      </c>
      <c r="E59" s="92">
        <v>0</v>
      </c>
      <c r="F59" s="92">
        <v>4103816.6837305231</v>
      </c>
      <c r="G59" s="92">
        <v>689198.88558392366</v>
      </c>
      <c r="H59" s="92">
        <v>0</v>
      </c>
      <c r="I59" s="92">
        <v>0</v>
      </c>
      <c r="J59" s="92">
        <v>0</v>
      </c>
      <c r="K59" s="283">
        <v>0</v>
      </c>
      <c r="L59" s="283">
        <v>0</v>
      </c>
      <c r="M59" s="283">
        <v>0</v>
      </c>
      <c r="N59" s="162">
        <v>0</v>
      </c>
    </row>
    <row r="60" spans="1:14" x14ac:dyDescent="0.3">
      <c r="A60" s="154" t="s">
        <v>32</v>
      </c>
      <c r="B60" s="282">
        <f t="shared" si="2"/>
        <v>440148079.21174067</v>
      </c>
      <c r="C60" s="92">
        <v>117811520.71607047</v>
      </c>
      <c r="D60" s="92">
        <v>60608619.31756217</v>
      </c>
      <c r="E60" s="92">
        <v>134563538.24713683</v>
      </c>
      <c r="F60" s="92">
        <v>93660431.23667118</v>
      </c>
      <c r="G60" s="92">
        <v>20017605.908525653</v>
      </c>
      <c r="H60" s="92">
        <v>3808611.0123899295</v>
      </c>
      <c r="I60" s="92">
        <v>2071463.4309679826</v>
      </c>
      <c r="J60" s="92">
        <v>0</v>
      </c>
      <c r="K60" s="283">
        <v>0</v>
      </c>
      <c r="L60" s="283">
        <v>0</v>
      </c>
      <c r="M60" s="283">
        <v>0</v>
      </c>
      <c r="N60" s="162">
        <v>7606289.342416402</v>
      </c>
    </row>
    <row r="61" spans="1:14" x14ac:dyDescent="0.3">
      <c r="A61" s="154" t="s">
        <v>143</v>
      </c>
      <c r="B61" s="282">
        <f t="shared" si="2"/>
        <v>8942729.1732007936</v>
      </c>
      <c r="C61" s="92">
        <v>3302971.697942798</v>
      </c>
      <c r="D61" s="92">
        <v>1330173.1153462776</v>
      </c>
      <c r="E61" s="92">
        <v>4309584.3599117175</v>
      </c>
      <c r="F61" s="92">
        <v>0</v>
      </c>
      <c r="G61" s="92">
        <v>0</v>
      </c>
      <c r="H61" s="92">
        <v>0</v>
      </c>
      <c r="I61" s="92">
        <v>0</v>
      </c>
      <c r="J61" s="92">
        <v>0</v>
      </c>
      <c r="K61" s="92">
        <v>0</v>
      </c>
      <c r="L61" s="283">
        <v>0</v>
      </c>
      <c r="M61" s="283">
        <v>0</v>
      </c>
      <c r="N61" s="162">
        <v>0</v>
      </c>
    </row>
    <row r="62" spans="1:14" x14ac:dyDescent="0.3">
      <c r="A62" s="154" t="s">
        <v>33</v>
      </c>
      <c r="B62" s="282">
        <f t="shared" si="2"/>
        <v>1440942.8022885711</v>
      </c>
      <c r="C62" s="92">
        <v>1440942.8022885711</v>
      </c>
      <c r="D62" s="92">
        <v>0</v>
      </c>
      <c r="E62" s="92">
        <v>0</v>
      </c>
      <c r="F62" s="92">
        <v>0</v>
      </c>
      <c r="G62" s="92">
        <v>0</v>
      </c>
      <c r="H62" s="92">
        <v>0</v>
      </c>
      <c r="I62" s="92">
        <v>0</v>
      </c>
      <c r="J62" s="92">
        <v>0</v>
      </c>
      <c r="K62" s="283">
        <v>0</v>
      </c>
      <c r="L62" s="283">
        <v>0</v>
      </c>
      <c r="M62" s="283">
        <v>0</v>
      </c>
      <c r="N62" s="162">
        <v>0</v>
      </c>
    </row>
    <row r="63" spans="1:14" x14ac:dyDescent="0.3">
      <c r="A63" s="154" t="s">
        <v>205</v>
      </c>
      <c r="B63" s="282">
        <f t="shared" si="2"/>
        <v>2445696.7881117454</v>
      </c>
      <c r="C63" s="92">
        <v>2445696.7881117454</v>
      </c>
      <c r="D63" s="92">
        <v>0</v>
      </c>
      <c r="E63" s="92">
        <v>0</v>
      </c>
      <c r="F63" s="92">
        <v>0</v>
      </c>
      <c r="G63" s="92">
        <v>0</v>
      </c>
      <c r="H63" s="92">
        <v>0</v>
      </c>
      <c r="I63" s="92">
        <v>0</v>
      </c>
      <c r="J63" s="92">
        <v>0</v>
      </c>
      <c r="K63" s="283">
        <v>0</v>
      </c>
      <c r="L63" s="283">
        <v>0</v>
      </c>
      <c r="M63" s="283">
        <v>0</v>
      </c>
      <c r="N63" s="162">
        <v>0</v>
      </c>
    </row>
    <row r="64" spans="1:14" x14ac:dyDescent="0.3">
      <c r="A64" s="154" t="s">
        <v>34</v>
      </c>
      <c r="B64" s="282">
        <f t="shared" si="2"/>
        <v>6429585.2050063238</v>
      </c>
      <c r="C64" s="92">
        <v>4178810.2997081825</v>
      </c>
      <c r="D64" s="92">
        <v>0</v>
      </c>
      <c r="E64" s="92">
        <v>2250774.9052981408</v>
      </c>
      <c r="F64" s="92">
        <v>0</v>
      </c>
      <c r="G64" s="92">
        <v>0</v>
      </c>
      <c r="H64" s="92">
        <v>0</v>
      </c>
      <c r="I64" s="92">
        <v>0</v>
      </c>
      <c r="J64" s="92">
        <v>0</v>
      </c>
      <c r="K64" s="283">
        <v>0</v>
      </c>
      <c r="L64" s="283">
        <v>0</v>
      </c>
      <c r="M64" s="283">
        <v>0</v>
      </c>
      <c r="N64" s="162">
        <v>0</v>
      </c>
    </row>
    <row r="65" spans="1:14" x14ac:dyDescent="0.3">
      <c r="A65" s="154" t="s">
        <v>35</v>
      </c>
      <c r="B65" s="282">
        <f t="shared" si="2"/>
        <v>136710117.96783036</v>
      </c>
      <c r="C65" s="92">
        <v>48289550.826545186</v>
      </c>
      <c r="D65" s="92">
        <v>18881783.487070642</v>
      </c>
      <c r="E65" s="92">
        <v>36174729.01311034</v>
      </c>
      <c r="F65" s="92">
        <v>33364054.641104206</v>
      </c>
      <c r="G65" s="92">
        <v>0</v>
      </c>
      <c r="H65" s="92">
        <v>0</v>
      </c>
      <c r="I65" s="92">
        <v>0</v>
      </c>
      <c r="J65" s="92">
        <v>0</v>
      </c>
      <c r="K65" s="283">
        <v>0</v>
      </c>
      <c r="L65" s="283">
        <v>0</v>
      </c>
      <c r="M65" s="283">
        <v>0</v>
      </c>
      <c r="N65" s="162">
        <v>0</v>
      </c>
    </row>
    <row r="66" spans="1:14" x14ac:dyDescent="0.3">
      <c r="A66" s="154" t="s">
        <v>36</v>
      </c>
      <c r="B66" s="282">
        <f t="shared" si="2"/>
        <v>2440761668.5871992</v>
      </c>
      <c r="C66" s="92">
        <v>699194411.77303696</v>
      </c>
      <c r="D66" s="92">
        <v>397742514.14568138</v>
      </c>
      <c r="E66" s="92">
        <v>449431137.22673798</v>
      </c>
      <c r="F66" s="92">
        <v>595988377.31333804</v>
      </c>
      <c r="G66" s="92">
        <v>244227826.7199688</v>
      </c>
      <c r="H66" s="92">
        <v>33332257.532901533</v>
      </c>
      <c r="I66" s="92">
        <v>5389647.8583040824</v>
      </c>
      <c r="J66" s="92">
        <v>0</v>
      </c>
      <c r="K66" s="283">
        <v>0</v>
      </c>
      <c r="L66" s="283">
        <v>3400583.2764170202</v>
      </c>
      <c r="M66" s="283">
        <v>4417728.8866761532</v>
      </c>
      <c r="N66" s="162">
        <v>7637183.8541363142</v>
      </c>
    </row>
    <row r="67" spans="1:14" x14ac:dyDescent="0.3">
      <c r="A67" s="154" t="s">
        <v>37</v>
      </c>
      <c r="B67" s="282">
        <f t="shared" si="2"/>
        <v>118035777.59664473</v>
      </c>
      <c r="C67" s="92">
        <v>37917118.125276014</v>
      </c>
      <c r="D67" s="92">
        <v>27531160.67707159</v>
      </c>
      <c r="E67" s="92">
        <v>30704667.343980849</v>
      </c>
      <c r="F67" s="92">
        <v>19401331.177995767</v>
      </c>
      <c r="G67" s="92">
        <v>2481500.272320515</v>
      </c>
      <c r="H67" s="92">
        <v>0</v>
      </c>
      <c r="I67" s="92">
        <v>0</v>
      </c>
      <c r="J67" s="92">
        <v>0</v>
      </c>
      <c r="K67" s="283">
        <v>0</v>
      </c>
      <c r="L67" s="283">
        <v>0</v>
      </c>
      <c r="M67" s="283">
        <v>0</v>
      </c>
      <c r="N67" s="162">
        <v>0</v>
      </c>
    </row>
    <row r="68" spans="1:14" x14ac:dyDescent="0.3">
      <c r="A68" s="154" t="s">
        <v>144</v>
      </c>
      <c r="B68" s="282">
        <f t="shared" si="2"/>
        <v>10486689.429763846</v>
      </c>
      <c r="C68" s="92">
        <v>2119941.6125352541</v>
      </c>
      <c r="D68" s="92">
        <v>2720451.6909188051</v>
      </c>
      <c r="E68" s="92">
        <v>1872491.8804215719</v>
      </c>
      <c r="F68" s="92">
        <v>3773804.2458882146</v>
      </c>
      <c r="G68" s="92">
        <v>0</v>
      </c>
      <c r="H68" s="92">
        <v>0</v>
      </c>
      <c r="I68" s="92">
        <v>0</v>
      </c>
      <c r="J68" s="92">
        <v>0</v>
      </c>
      <c r="K68" s="283">
        <v>0</v>
      </c>
      <c r="L68" s="283">
        <v>0</v>
      </c>
      <c r="M68" s="283">
        <v>0</v>
      </c>
      <c r="N68" s="162">
        <v>0</v>
      </c>
    </row>
    <row r="69" spans="1:14" x14ac:dyDescent="0.3">
      <c r="A69" s="154" t="s">
        <v>38</v>
      </c>
      <c r="B69" s="282">
        <f t="shared" si="2"/>
        <v>10168260.147519637</v>
      </c>
      <c r="C69" s="92">
        <v>5257912.3705288535</v>
      </c>
      <c r="D69" s="92">
        <v>1433337.5702847221</v>
      </c>
      <c r="E69" s="92">
        <v>1093562.9415939371</v>
      </c>
      <c r="F69" s="92">
        <v>0</v>
      </c>
      <c r="G69" s="92">
        <v>0</v>
      </c>
      <c r="H69" s="92">
        <v>2383447.2651121235</v>
      </c>
      <c r="I69" s="92">
        <v>0</v>
      </c>
      <c r="J69" s="92">
        <v>0</v>
      </c>
      <c r="K69" s="283">
        <v>0</v>
      </c>
      <c r="L69" s="283">
        <v>0</v>
      </c>
      <c r="M69" s="283">
        <v>0</v>
      </c>
      <c r="N69" s="162">
        <v>0</v>
      </c>
    </row>
    <row r="70" spans="1:14" x14ac:dyDescent="0.3">
      <c r="A70" s="154" t="s">
        <v>39</v>
      </c>
      <c r="B70" s="282">
        <f t="shared" si="2"/>
        <v>2419104.351374201</v>
      </c>
      <c r="C70" s="92">
        <v>2419104.351374201</v>
      </c>
      <c r="D70" s="92">
        <v>0</v>
      </c>
      <c r="E70" s="92">
        <v>0</v>
      </c>
      <c r="F70" s="92">
        <v>0</v>
      </c>
      <c r="G70" s="92">
        <v>0</v>
      </c>
      <c r="H70" s="92">
        <v>0</v>
      </c>
      <c r="I70" s="92">
        <v>0</v>
      </c>
      <c r="J70" s="92">
        <v>0</v>
      </c>
      <c r="K70" s="283">
        <v>0</v>
      </c>
      <c r="L70" s="283">
        <v>0</v>
      </c>
      <c r="M70" s="283">
        <v>0</v>
      </c>
      <c r="N70" s="162">
        <v>0</v>
      </c>
    </row>
    <row r="71" spans="1:14" x14ac:dyDescent="0.3">
      <c r="A71" s="154" t="s">
        <v>40</v>
      </c>
      <c r="B71" s="282">
        <f t="shared" si="2"/>
        <v>1268846012.95028</v>
      </c>
      <c r="C71" s="92">
        <v>396627182.02269948</v>
      </c>
      <c r="D71" s="92">
        <v>220456050.65218678</v>
      </c>
      <c r="E71" s="92">
        <v>259444095.44574165</v>
      </c>
      <c r="F71" s="92">
        <v>306967351.7215023</v>
      </c>
      <c r="G71" s="92">
        <v>73933395.012549147</v>
      </c>
      <c r="H71" s="92">
        <v>8886561.9299706761</v>
      </c>
      <c r="I71" s="92">
        <v>0</v>
      </c>
      <c r="J71" s="92">
        <v>2531376.1656299741</v>
      </c>
      <c r="K71" s="92">
        <v>0</v>
      </c>
      <c r="L71" s="283">
        <v>0</v>
      </c>
      <c r="M71" s="283">
        <v>0</v>
      </c>
      <c r="N71" s="162">
        <v>0</v>
      </c>
    </row>
    <row r="72" spans="1:14" x14ac:dyDescent="0.3">
      <c r="A72" s="154" t="s">
        <v>41</v>
      </c>
      <c r="B72" s="282">
        <f t="shared" si="2"/>
        <v>26058862.142672606</v>
      </c>
      <c r="C72" s="92">
        <v>6971400.8466441492</v>
      </c>
      <c r="D72" s="92">
        <v>3417030.5481225317</v>
      </c>
      <c r="E72" s="92">
        <v>8696019.8169039749</v>
      </c>
      <c r="F72" s="92">
        <v>6974410.931001951</v>
      </c>
      <c r="G72" s="92">
        <v>0</v>
      </c>
      <c r="H72" s="92">
        <v>0</v>
      </c>
      <c r="I72" s="92">
        <v>0</v>
      </c>
      <c r="J72" s="92">
        <v>0</v>
      </c>
      <c r="K72" s="283">
        <v>0</v>
      </c>
      <c r="L72" s="283">
        <v>0</v>
      </c>
      <c r="M72" s="283">
        <v>0</v>
      </c>
      <c r="N72" s="162">
        <v>0</v>
      </c>
    </row>
    <row r="73" spans="1:14" x14ac:dyDescent="0.3">
      <c r="A73" s="154" t="s">
        <v>145</v>
      </c>
      <c r="B73" s="282">
        <f t="shared" si="2"/>
        <v>8846728.1792902052</v>
      </c>
      <c r="C73" s="92">
        <v>3302128.3302144022</v>
      </c>
      <c r="D73" s="92">
        <v>1649962.4291115843</v>
      </c>
      <c r="E73" s="92">
        <v>1980781.468928783</v>
      </c>
      <c r="F73" s="92">
        <v>1913855.9510354358</v>
      </c>
      <c r="G73" s="92">
        <v>0</v>
      </c>
      <c r="H73" s="92">
        <v>0</v>
      </c>
      <c r="I73" s="92">
        <v>0</v>
      </c>
      <c r="J73" s="92">
        <v>0</v>
      </c>
      <c r="K73" s="283">
        <v>0</v>
      </c>
      <c r="L73" s="283">
        <v>0</v>
      </c>
      <c r="M73" s="283">
        <v>0</v>
      </c>
      <c r="N73" s="162">
        <v>0</v>
      </c>
    </row>
    <row r="74" spans="1:14" ht="14" thickBot="1" x14ac:dyDescent="0.35">
      <c r="A74" s="154" t="s">
        <v>165</v>
      </c>
      <c r="B74" s="289">
        <f t="shared" si="2"/>
        <v>32405695.02501864</v>
      </c>
      <c r="C74" s="96">
        <v>32405695.02501864</v>
      </c>
      <c r="D74" s="168">
        <v>0</v>
      </c>
      <c r="E74" s="168">
        <v>0</v>
      </c>
      <c r="F74" s="168">
        <v>0</v>
      </c>
      <c r="G74" s="168">
        <v>0</v>
      </c>
      <c r="H74" s="168">
        <v>0</v>
      </c>
      <c r="I74" s="168">
        <v>0</v>
      </c>
      <c r="J74" s="168">
        <v>0</v>
      </c>
      <c r="K74" s="168">
        <v>0</v>
      </c>
      <c r="L74" s="292">
        <v>0</v>
      </c>
      <c r="M74" s="292">
        <v>0</v>
      </c>
      <c r="N74" s="168">
        <v>0</v>
      </c>
    </row>
    <row r="75" spans="1:14" ht="14" thickTop="1" x14ac:dyDescent="0.3">
      <c r="A75" s="45" t="s">
        <v>1</v>
      </c>
      <c r="B75" s="20">
        <f>SUM(C75:N75)</f>
        <v>4873890856.7500029</v>
      </c>
      <c r="C75" s="20">
        <f t="shared" ref="C75:N75" si="3">SUM(C56:C74)</f>
        <v>1446164711.0415819</v>
      </c>
      <c r="D75" s="20">
        <f t="shared" si="3"/>
        <v>810410401.90697253</v>
      </c>
      <c r="E75" s="20">
        <f t="shared" si="3"/>
        <v>1025608561.4811766</v>
      </c>
      <c r="F75" s="20">
        <f t="shared" si="3"/>
        <v>1159679890.295182</v>
      </c>
      <c r="G75" s="20">
        <f t="shared" si="3"/>
        <v>346837169.86595261</v>
      </c>
      <c r="H75" s="20">
        <f t="shared" si="3"/>
        <v>49799855.277976468</v>
      </c>
      <c r="I75" s="24">
        <f t="shared" si="3"/>
        <v>9797105.3558856267</v>
      </c>
      <c r="J75" s="24">
        <f t="shared" si="3"/>
        <v>2531376.1656299741</v>
      </c>
      <c r="K75" s="24">
        <f t="shared" si="3"/>
        <v>0</v>
      </c>
      <c r="L75" s="24">
        <f t="shared" si="3"/>
        <v>3400583.2764170202</v>
      </c>
      <c r="M75" s="24">
        <f t="shared" si="3"/>
        <v>4417728.8866761532</v>
      </c>
      <c r="N75" s="24">
        <f t="shared" si="3"/>
        <v>15243473.196552716</v>
      </c>
    </row>
    <row r="76" spans="1:14" x14ac:dyDescent="0.3">
      <c r="A76" s="37"/>
      <c r="B76" s="38"/>
      <c r="C76" s="38"/>
      <c r="D76" s="38"/>
      <c r="E76" s="38"/>
      <c r="F76" s="38"/>
      <c r="G76" s="38"/>
      <c r="H76" s="38"/>
      <c r="I76" s="39"/>
      <c r="J76" s="39"/>
      <c r="K76" s="39"/>
      <c r="L76" s="39"/>
      <c r="M76" s="39"/>
      <c r="N76" s="39"/>
    </row>
    <row r="77" spans="1:14" x14ac:dyDescent="0.3">
      <c r="A77" s="37"/>
      <c r="B77" s="38"/>
      <c r="C77" s="38"/>
      <c r="D77" s="38"/>
      <c r="E77" s="38"/>
      <c r="F77" s="38"/>
      <c r="G77" s="38"/>
      <c r="H77" s="38"/>
      <c r="I77" s="39"/>
      <c r="J77" s="39"/>
      <c r="K77" s="39"/>
      <c r="L77" s="39"/>
      <c r="M77" s="39"/>
      <c r="N77" s="39"/>
    </row>
    <row r="79" spans="1:14" x14ac:dyDescent="0.3">
      <c r="A79" s="164" t="s">
        <v>226</v>
      </c>
      <c r="B79" s="164"/>
      <c r="C79" s="164"/>
      <c r="D79" s="164"/>
      <c r="E79" s="164"/>
      <c r="F79" s="164"/>
      <c r="G79" s="164"/>
      <c r="H79" s="164"/>
      <c r="I79" s="164"/>
      <c r="J79" s="164"/>
      <c r="K79" s="164"/>
      <c r="L79" s="164"/>
      <c r="M79" s="164"/>
      <c r="N79" s="164"/>
    </row>
    <row r="80" spans="1:14"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row>
    <row r="81" spans="1:16" x14ac:dyDescent="0.3">
      <c r="A81" s="12"/>
      <c r="B81" s="11"/>
      <c r="C81" s="13"/>
      <c r="D81" s="13"/>
      <c r="E81" s="17"/>
      <c r="F81" s="13"/>
      <c r="G81" s="13"/>
      <c r="H81" s="13"/>
      <c r="I81" s="13"/>
      <c r="J81" s="13"/>
      <c r="K81" s="13"/>
      <c r="L81" s="13"/>
      <c r="M81" s="13"/>
      <c r="N81" s="13"/>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row>
    <row r="83" spans="1:16" x14ac:dyDescent="0.3">
      <c r="A83" s="41" t="s">
        <v>182</v>
      </c>
      <c r="B83" s="71">
        <f>SUM(C83:N83)</f>
        <v>4871808743.7500029</v>
      </c>
      <c r="C83" s="137">
        <v>1446423852.6970563</v>
      </c>
      <c r="D83" s="137">
        <v>808473508.25270844</v>
      </c>
      <c r="E83" s="137">
        <v>1025792342.6912017</v>
      </c>
      <c r="F83" s="137">
        <v>1159887696.0619085</v>
      </c>
      <c r="G83" s="137">
        <v>346899320.43406755</v>
      </c>
      <c r="H83" s="137">
        <v>49808779.03115657</v>
      </c>
      <c r="I83" s="50">
        <v>9798860.9222339094</v>
      </c>
      <c r="J83" s="50">
        <v>2531829.7688780553</v>
      </c>
      <c r="K83" s="50">
        <v>0</v>
      </c>
      <c r="L83" s="50">
        <v>3272410.4593422422</v>
      </c>
      <c r="M83" s="50">
        <v>4251218.4058404919</v>
      </c>
      <c r="N83" s="50">
        <v>14668925.025609341</v>
      </c>
    </row>
    <row r="84" spans="1:16" x14ac:dyDescent="0.3">
      <c r="A84" s="49" t="s">
        <v>183</v>
      </c>
      <c r="B84" s="75">
        <f t="shared" ref="B84:B86" si="4">SUM(C84:N84)</f>
        <v>2082113</v>
      </c>
      <c r="C84" s="33"/>
      <c r="D84" s="33">
        <v>2082113</v>
      </c>
      <c r="E84" s="33"/>
      <c r="F84" s="33"/>
      <c r="G84" s="33"/>
      <c r="H84" s="33"/>
      <c r="I84" s="27"/>
      <c r="J84" s="27"/>
      <c r="K84" s="27"/>
      <c r="L84" s="27"/>
      <c r="M84" s="27"/>
      <c r="N84" s="27"/>
      <c r="O84" s="70"/>
    </row>
    <row r="85" spans="1:16" x14ac:dyDescent="0.3">
      <c r="A85" s="42" t="s">
        <v>184</v>
      </c>
      <c r="B85" s="75">
        <f t="shared" si="4"/>
        <v>0</v>
      </c>
      <c r="C85" s="31"/>
      <c r="D85" s="31"/>
      <c r="E85" s="32"/>
      <c r="F85" s="33"/>
      <c r="G85" s="33"/>
      <c r="H85" s="33"/>
      <c r="I85" s="27"/>
      <c r="J85" s="27"/>
      <c r="K85" s="27"/>
      <c r="L85" s="27"/>
      <c r="M85" s="27"/>
      <c r="N85" s="28"/>
    </row>
    <row r="86" spans="1:16" ht="14" thickBot="1" x14ac:dyDescent="0.35">
      <c r="A86" s="42" t="s">
        <v>185</v>
      </c>
      <c r="B86" s="75">
        <f t="shared" si="4"/>
        <v>0</v>
      </c>
      <c r="C86" s="31"/>
      <c r="D86" s="31"/>
      <c r="E86" s="32"/>
      <c r="F86" s="33"/>
      <c r="G86" s="33"/>
      <c r="H86" s="33"/>
      <c r="I86" s="27"/>
      <c r="J86" s="27"/>
      <c r="K86" s="27"/>
      <c r="L86" s="27"/>
      <c r="M86" s="27"/>
      <c r="N86" s="28"/>
    </row>
    <row r="87" spans="1:16" ht="14" thickTop="1" x14ac:dyDescent="0.3">
      <c r="A87" s="44" t="s">
        <v>1</v>
      </c>
      <c r="B87" s="22">
        <f t="shared" ref="B87:N87" si="5">SUM(B83:B86)</f>
        <v>4873890856.7500029</v>
      </c>
      <c r="C87" s="22">
        <f t="shared" si="5"/>
        <v>1446423852.6970563</v>
      </c>
      <c r="D87" s="22">
        <f t="shared" si="5"/>
        <v>810555621.25270844</v>
      </c>
      <c r="E87" s="22">
        <f t="shared" si="5"/>
        <v>1025792342.6912017</v>
      </c>
      <c r="F87" s="22">
        <f t="shared" si="5"/>
        <v>1159887696.0619085</v>
      </c>
      <c r="G87" s="22">
        <f t="shared" si="5"/>
        <v>346899320.43406755</v>
      </c>
      <c r="H87" s="22">
        <f t="shared" si="5"/>
        <v>49808779.03115657</v>
      </c>
      <c r="I87" s="22">
        <f t="shared" si="5"/>
        <v>9798860.9222339094</v>
      </c>
      <c r="J87" s="22">
        <f t="shared" si="5"/>
        <v>2531829.7688780553</v>
      </c>
      <c r="K87" s="22">
        <f t="shared" si="5"/>
        <v>0</v>
      </c>
      <c r="L87" s="22">
        <f t="shared" si="5"/>
        <v>3272410.4593422422</v>
      </c>
      <c r="M87" s="22">
        <f t="shared" si="5"/>
        <v>4251218.4058404919</v>
      </c>
      <c r="N87" s="23">
        <f t="shared" si="5"/>
        <v>14668925.025609341</v>
      </c>
    </row>
    <row r="88" spans="1:16" x14ac:dyDescent="0.3">
      <c r="A88" s="26"/>
      <c r="B88" s="40"/>
      <c r="C88" s="40"/>
      <c r="D88" s="40"/>
      <c r="E88" s="40"/>
      <c r="F88" s="40"/>
      <c r="G88" s="40"/>
      <c r="H88" s="40"/>
      <c r="I88" s="40"/>
      <c r="J88" s="40"/>
      <c r="K88" s="40"/>
      <c r="L88" s="40"/>
      <c r="M88" s="40"/>
      <c r="N88" s="40"/>
    </row>
    <row r="90" spans="1:16" x14ac:dyDescent="0.3">
      <c r="A90" s="164" t="s">
        <v>227</v>
      </c>
      <c r="B90" s="164"/>
      <c r="C90" s="164"/>
      <c r="D90" s="164"/>
      <c r="E90" s="164"/>
      <c r="F90" s="164"/>
      <c r="G90" s="164"/>
      <c r="H90" s="164"/>
      <c r="I90" s="164"/>
      <c r="J90" s="164"/>
      <c r="K90" s="164"/>
      <c r="L90" s="164"/>
      <c r="M90" s="164"/>
      <c r="N90" s="16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row>
    <row r="92" spans="1:16" x14ac:dyDescent="0.3">
      <c r="A92" s="46"/>
      <c r="B92" s="11"/>
      <c r="C92" s="13"/>
      <c r="D92" s="13"/>
      <c r="E92" s="17"/>
      <c r="F92" s="13"/>
      <c r="G92" s="13"/>
      <c r="H92" s="13"/>
      <c r="I92" s="13"/>
      <c r="J92" s="13"/>
      <c r="K92" s="13"/>
      <c r="L92" s="13"/>
      <c r="M92" s="13"/>
      <c r="N92" s="13"/>
      <c r="O92" s="69"/>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row>
    <row r="94" spans="1:16" x14ac:dyDescent="0.3">
      <c r="A94" s="42" t="s">
        <v>62</v>
      </c>
      <c r="B94" s="71">
        <f>SUM(C94:N94)</f>
        <v>570643376.67541981</v>
      </c>
      <c r="C94" s="72">
        <v>72814563.741711095</v>
      </c>
      <c r="D94" s="73">
        <v>67964302.262694016</v>
      </c>
      <c r="E94" s="73">
        <v>113094768.91663976</v>
      </c>
      <c r="F94" s="73">
        <v>183161735.74543229</v>
      </c>
      <c r="G94" s="73">
        <v>113511414.92696474</v>
      </c>
      <c r="H94" s="78">
        <v>13314758.159849294</v>
      </c>
      <c r="I94" s="74">
        <v>0</v>
      </c>
      <c r="J94" s="75">
        <v>2531376.1656299741</v>
      </c>
      <c r="K94" s="71">
        <v>0</v>
      </c>
      <c r="L94" s="76">
        <v>0</v>
      </c>
      <c r="M94" s="76">
        <v>4250456.7564986227</v>
      </c>
      <c r="N94" s="71">
        <v>0</v>
      </c>
    </row>
    <row r="95" spans="1:16" x14ac:dyDescent="0.3">
      <c r="A95" s="42" t="s">
        <v>63</v>
      </c>
      <c r="B95" s="75">
        <f t="shared" ref="B95:B98" si="6">SUM(C95:N95)</f>
        <v>1119122954.6245415</v>
      </c>
      <c r="C95" s="77">
        <v>263229625.08850384</v>
      </c>
      <c r="D95" s="78">
        <v>172954122.72208902</v>
      </c>
      <c r="E95" s="78">
        <v>234631893.01971748</v>
      </c>
      <c r="F95" s="78">
        <v>345120109.66650838</v>
      </c>
      <c r="G95" s="78">
        <v>90275411.854907453</v>
      </c>
      <c r="H95" s="78">
        <v>6364902.2110266732</v>
      </c>
      <c r="I95" s="74">
        <v>0</v>
      </c>
      <c r="J95" s="75">
        <v>0</v>
      </c>
      <c r="K95" s="75">
        <v>0</v>
      </c>
      <c r="L95" s="74">
        <v>3271824.1734743454</v>
      </c>
      <c r="M95" s="74">
        <v>0</v>
      </c>
      <c r="N95" s="75">
        <v>3275065.8883142415</v>
      </c>
    </row>
    <row r="96" spans="1:16" x14ac:dyDescent="0.3">
      <c r="A96" s="42" t="s">
        <v>64</v>
      </c>
      <c r="B96" s="75">
        <f t="shared" si="6"/>
        <v>957666365.57861698</v>
      </c>
      <c r="C96" s="77">
        <v>254627286.9574948</v>
      </c>
      <c r="D96" s="78">
        <v>171521156.50877637</v>
      </c>
      <c r="E96" s="78">
        <v>201008978.89681688</v>
      </c>
      <c r="F96" s="78">
        <v>242991727.87768587</v>
      </c>
      <c r="G96" s="78">
        <v>79156282.349790901</v>
      </c>
      <c r="H96" s="78">
        <v>8360932.9880520767</v>
      </c>
      <c r="I96" s="74">
        <v>0</v>
      </c>
      <c r="J96" s="75">
        <v>0</v>
      </c>
      <c r="K96" s="75">
        <v>0</v>
      </c>
      <c r="L96" s="74">
        <v>0</v>
      </c>
      <c r="M96" s="74">
        <v>0</v>
      </c>
      <c r="N96" s="75">
        <v>0</v>
      </c>
    </row>
    <row r="97" spans="1:15" x14ac:dyDescent="0.3">
      <c r="A97" s="42" t="s">
        <v>65</v>
      </c>
      <c r="B97" s="75">
        <f t="shared" si="6"/>
        <v>1273569409.1568599</v>
      </c>
      <c r="C97" s="77">
        <v>430324608.01381987</v>
      </c>
      <c r="D97" s="78">
        <v>230441182.35846829</v>
      </c>
      <c r="E97" s="78">
        <v>283568434.02571964</v>
      </c>
      <c r="F97" s="78">
        <v>255907132.42215398</v>
      </c>
      <c r="G97" s="78">
        <v>46586993.397116236</v>
      </c>
      <c r="H97" s="78">
        <v>17278466.13729788</v>
      </c>
      <c r="I97" s="74">
        <v>5389647.8583040824</v>
      </c>
      <c r="J97" s="75">
        <v>0</v>
      </c>
      <c r="K97" s="75">
        <v>0</v>
      </c>
      <c r="L97" s="74">
        <v>0</v>
      </c>
      <c r="M97" s="74">
        <v>0</v>
      </c>
      <c r="N97" s="75">
        <v>4072944.9439800759</v>
      </c>
    </row>
    <row r="98" spans="1:15" ht="14" thickBot="1" x14ac:dyDescent="0.35">
      <c r="A98" s="43" t="s">
        <v>66</v>
      </c>
      <c r="B98" s="79">
        <f t="shared" si="6"/>
        <v>952015543.22226357</v>
      </c>
      <c r="C98" s="80">
        <v>425168627.2400527</v>
      </c>
      <c r="D98" s="80">
        <v>167529638.05494478</v>
      </c>
      <c r="E98" s="80">
        <v>193304486.62228304</v>
      </c>
      <c r="F98" s="80">
        <v>132499184.58340122</v>
      </c>
      <c r="G98" s="80">
        <v>17307067.337173223</v>
      </c>
      <c r="H98" s="80">
        <v>4480795.7817505458</v>
      </c>
      <c r="I98" s="81">
        <v>4407457.4975815443</v>
      </c>
      <c r="J98" s="79">
        <v>0</v>
      </c>
      <c r="K98" s="79">
        <v>0</v>
      </c>
      <c r="L98" s="81">
        <v>0</v>
      </c>
      <c r="M98" s="81">
        <v>0</v>
      </c>
      <c r="N98" s="79">
        <v>7318286.1050765207</v>
      </c>
    </row>
    <row r="99" spans="1:15" ht="14" thickTop="1" x14ac:dyDescent="0.3">
      <c r="A99" s="42" t="s">
        <v>1</v>
      </c>
      <c r="B99" s="82">
        <f>SUM(B94:B98)</f>
        <v>4873017649.2577019</v>
      </c>
      <c r="C99" s="82">
        <f>SUM(C94:C98)</f>
        <v>1446164711.0415823</v>
      </c>
      <c r="D99" s="82">
        <f t="shared" ref="D99:N99" si="7">SUM(D94:D98)</f>
        <v>810410401.90697241</v>
      </c>
      <c r="E99" s="82">
        <f t="shared" si="7"/>
        <v>1025608561.4811769</v>
      </c>
      <c r="F99" s="82">
        <f t="shared" si="7"/>
        <v>1159679890.2951818</v>
      </c>
      <c r="G99" s="82">
        <f t="shared" si="7"/>
        <v>346837169.86595255</v>
      </c>
      <c r="H99" s="82">
        <f t="shared" si="7"/>
        <v>49799855.277976468</v>
      </c>
      <c r="I99" s="82">
        <f t="shared" si="7"/>
        <v>9797105.3558856267</v>
      </c>
      <c r="J99" s="82">
        <f t="shared" si="7"/>
        <v>2531376.1656299741</v>
      </c>
      <c r="K99" s="82">
        <f t="shared" si="7"/>
        <v>0</v>
      </c>
      <c r="L99" s="82">
        <f t="shared" si="7"/>
        <v>3271824.1734743454</v>
      </c>
      <c r="M99" s="82">
        <f t="shared" si="7"/>
        <v>4250456.7564986227</v>
      </c>
      <c r="N99" s="82">
        <f t="shared" si="7"/>
        <v>14666296.937370837</v>
      </c>
      <c r="O99" s="70"/>
    </row>
    <row r="100" spans="1:15" x14ac:dyDescent="0.3">
      <c r="A100" s="26"/>
      <c r="B100" s="83"/>
      <c r="C100" s="83"/>
      <c r="D100" s="83"/>
      <c r="E100" s="83"/>
      <c r="F100" s="83"/>
      <c r="G100" s="83"/>
      <c r="H100" s="83"/>
      <c r="I100" s="83"/>
      <c r="J100" s="83"/>
      <c r="K100" s="83"/>
      <c r="L100" s="83"/>
      <c r="M100" s="83"/>
      <c r="N100" s="83"/>
      <c r="O100" s="67"/>
    </row>
    <row r="101" spans="1:15" x14ac:dyDescent="0.3">
      <c r="A101" s="67"/>
    </row>
    <row r="102" spans="1:15" x14ac:dyDescent="0.3">
      <c r="A102" s="164" t="s">
        <v>228</v>
      </c>
      <c r="B102" s="164"/>
      <c r="C102" s="164"/>
      <c r="D102" s="164"/>
      <c r="E102" s="164"/>
      <c r="F102" s="164"/>
      <c r="G102" s="164"/>
      <c r="H102" s="164"/>
      <c r="I102" s="164"/>
      <c r="J102" s="164"/>
      <c r="K102" s="164"/>
      <c r="L102" s="164"/>
      <c r="M102" s="164"/>
      <c r="N102" s="164"/>
    </row>
    <row r="103" spans="1:15" x14ac:dyDescent="0.3">
      <c r="A103" s="108"/>
      <c r="B103" s="109"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row>
    <row r="104" spans="1:15" x14ac:dyDescent="0.3">
      <c r="A104" s="46"/>
      <c r="B104" s="11"/>
      <c r="C104" s="13"/>
      <c r="D104" s="13"/>
      <c r="E104" s="17"/>
      <c r="F104" s="13"/>
      <c r="G104" s="13"/>
      <c r="H104" s="13"/>
      <c r="I104" s="13"/>
      <c r="J104" s="13"/>
      <c r="K104" s="13"/>
      <c r="L104" s="13"/>
      <c r="M104" s="13"/>
      <c r="N104" s="13"/>
    </row>
    <row r="105" spans="1:15" ht="27" x14ac:dyDescent="0.3">
      <c r="A105" s="47"/>
      <c r="B105" s="25" t="s">
        <v>4</v>
      </c>
      <c r="C105" s="15" t="s">
        <v>4</v>
      </c>
      <c r="D105" s="15" t="s">
        <v>4</v>
      </c>
      <c r="E105" s="14" t="s">
        <v>4</v>
      </c>
      <c r="F105" s="15" t="s">
        <v>4</v>
      </c>
      <c r="G105" s="15" t="s">
        <v>4</v>
      </c>
      <c r="H105" s="15" t="s">
        <v>4</v>
      </c>
      <c r="I105" s="15" t="s">
        <v>4</v>
      </c>
      <c r="J105" s="15" t="s">
        <v>4</v>
      </c>
      <c r="K105" s="15" t="s">
        <v>4</v>
      </c>
      <c r="L105" s="15" t="s">
        <v>4</v>
      </c>
      <c r="M105" s="15" t="s">
        <v>4</v>
      </c>
      <c r="N105" s="15" t="s">
        <v>4</v>
      </c>
    </row>
    <row r="106" spans="1:15" x14ac:dyDescent="0.3">
      <c r="A106" s="42" t="s">
        <v>201</v>
      </c>
      <c r="B106" s="140">
        <f t="shared" ref="B106:B109" si="8">SUM(C106:N106)</f>
        <v>4857950078.0840178</v>
      </c>
      <c r="C106" s="138">
        <v>1438781189.6248906</v>
      </c>
      <c r="D106" s="85">
        <v>806273213.39146972</v>
      </c>
      <c r="E106" s="85">
        <v>1022061700.2396878</v>
      </c>
      <c r="F106" s="85">
        <v>1159679890.2951815</v>
      </c>
      <c r="G106" s="85">
        <v>346837169.86595255</v>
      </c>
      <c r="H106" s="85">
        <v>49799855.277976461</v>
      </c>
      <c r="I106" s="86">
        <v>9797105.3558856267</v>
      </c>
      <c r="J106" s="86">
        <v>2531376.1656299741</v>
      </c>
      <c r="K106" s="86">
        <v>0</v>
      </c>
      <c r="L106" s="86">
        <v>3271824.1734743454</v>
      </c>
      <c r="M106" s="86">
        <v>4250456.7564986227</v>
      </c>
      <c r="N106" s="87">
        <v>14666296.937370837</v>
      </c>
    </row>
    <row r="107" spans="1:15" x14ac:dyDescent="0.3">
      <c r="A107" s="42" t="s">
        <v>202</v>
      </c>
      <c r="B107" s="88">
        <f t="shared" si="8"/>
        <v>13799786.570019102</v>
      </c>
      <c r="C107" s="89">
        <v>6115736.8130272105</v>
      </c>
      <c r="D107" s="90">
        <v>4137188.5155027537</v>
      </c>
      <c r="E107" s="90">
        <v>3546861.2414891371</v>
      </c>
      <c r="F107" s="90">
        <v>0</v>
      </c>
      <c r="G107" s="90">
        <v>0</v>
      </c>
      <c r="H107" s="90">
        <v>0</v>
      </c>
      <c r="I107" s="91">
        <v>0</v>
      </c>
      <c r="J107" s="91">
        <v>0</v>
      </c>
      <c r="K107" s="91">
        <v>0</v>
      </c>
      <c r="L107" s="91">
        <v>0</v>
      </c>
      <c r="M107" s="91">
        <v>0</v>
      </c>
      <c r="N107" s="92">
        <v>0</v>
      </c>
    </row>
    <row r="108" spans="1:15" x14ac:dyDescent="0.3">
      <c r="A108" s="42" t="s">
        <v>58</v>
      </c>
      <c r="B108" s="88">
        <f t="shared" si="8"/>
        <v>1267784.6036657211</v>
      </c>
      <c r="C108" s="89">
        <v>1267784.6036657211</v>
      </c>
      <c r="D108" s="90">
        <v>0</v>
      </c>
      <c r="E108" s="90">
        <v>0</v>
      </c>
      <c r="F108" s="90">
        <v>0</v>
      </c>
      <c r="G108" s="90">
        <v>0</v>
      </c>
      <c r="H108" s="90">
        <v>0</v>
      </c>
      <c r="I108" s="91">
        <v>0</v>
      </c>
      <c r="J108" s="91">
        <v>0</v>
      </c>
      <c r="K108" s="91">
        <v>0</v>
      </c>
      <c r="L108" s="91">
        <v>0</v>
      </c>
      <c r="M108" s="91">
        <v>0</v>
      </c>
      <c r="N108" s="92">
        <v>0</v>
      </c>
    </row>
    <row r="109" spans="1:15" ht="14" thickBot="1" x14ac:dyDescent="0.35">
      <c r="A109" s="43" t="s">
        <v>203</v>
      </c>
      <c r="B109" s="148">
        <f t="shared" si="8"/>
        <v>0</v>
      </c>
      <c r="C109" s="89">
        <v>0</v>
      </c>
      <c r="D109" s="90">
        <v>0</v>
      </c>
      <c r="E109" s="90">
        <v>0</v>
      </c>
      <c r="F109" s="90">
        <v>0</v>
      </c>
      <c r="G109" s="90">
        <v>0</v>
      </c>
      <c r="H109" s="90">
        <v>0</v>
      </c>
      <c r="I109" s="91">
        <v>0</v>
      </c>
      <c r="J109" s="91">
        <v>0</v>
      </c>
      <c r="K109" s="91">
        <v>0</v>
      </c>
      <c r="L109" s="91">
        <v>0</v>
      </c>
      <c r="M109" s="91">
        <v>0</v>
      </c>
      <c r="N109" s="96">
        <v>0</v>
      </c>
    </row>
    <row r="110" spans="1:15" ht="14" thickTop="1" x14ac:dyDescent="0.3">
      <c r="A110" s="42" t="s">
        <v>1</v>
      </c>
      <c r="B110" s="139">
        <f t="shared" ref="B110:N110" si="9">SUM(B106:B109)</f>
        <v>4873017649.2577019</v>
      </c>
      <c r="C110" s="97">
        <f t="shared" si="9"/>
        <v>1446164711.0415835</v>
      </c>
      <c r="D110" s="97">
        <f t="shared" si="9"/>
        <v>810410401.90697253</v>
      </c>
      <c r="E110" s="97">
        <f t="shared" si="9"/>
        <v>1025608561.481177</v>
      </c>
      <c r="F110" s="97">
        <f t="shared" si="9"/>
        <v>1159679890.2951815</v>
      </c>
      <c r="G110" s="97">
        <f t="shared" si="9"/>
        <v>346837169.86595255</v>
      </c>
      <c r="H110" s="97">
        <f t="shared" si="9"/>
        <v>49799855.277976461</v>
      </c>
      <c r="I110" s="97">
        <f t="shared" si="9"/>
        <v>9797105.3558856267</v>
      </c>
      <c r="J110" s="97">
        <f t="shared" si="9"/>
        <v>2531376.1656299741</v>
      </c>
      <c r="K110" s="97">
        <f t="shared" si="9"/>
        <v>0</v>
      </c>
      <c r="L110" s="97">
        <f t="shared" si="9"/>
        <v>3271824.1734743454</v>
      </c>
      <c r="M110" s="97">
        <f t="shared" si="9"/>
        <v>4250456.7564986227</v>
      </c>
      <c r="N110" s="98">
        <f t="shared" si="9"/>
        <v>14666296.937370837</v>
      </c>
    </row>
    <row r="111" spans="1:15" x14ac:dyDescent="0.3">
      <c r="A111" s="26"/>
      <c r="B111" s="99"/>
      <c r="C111" s="99"/>
      <c r="D111" s="99"/>
      <c r="E111" s="99"/>
      <c r="F111" s="99"/>
      <c r="G111" s="99"/>
      <c r="H111" s="99"/>
      <c r="I111" s="99"/>
      <c r="J111" s="99"/>
      <c r="K111" s="99"/>
      <c r="L111" s="99"/>
      <c r="M111" s="99"/>
      <c r="N111" s="99"/>
    </row>
    <row r="113" spans="1:15" x14ac:dyDescent="0.3">
      <c r="A113" s="164" t="s">
        <v>229</v>
      </c>
      <c r="B113" s="164"/>
      <c r="C113" s="164"/>
      <c r="D113" s="164"/>
      <c r="E113" s="164"/>
      <c r="F113" s="164"/>
      <c r="G113" s="164"/>
      <c r="H113" s="164"/>
      <c r="I113" s="164"/>
      <c r="J113" s="164"/>
      <c r="K113" s="164"/>
      <c r="L113" s="164"/>
      <c r="M113" s="164"/>
      <c r="N113" s="16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row>
    <row r="115" spans="1:15" x14ac:dyDescent="0.3">
      <c r="A115" s="48"/>
      <c r="B115" s="11"/>
      <c r="C115" s="13"/>
      <c r="D115" s="13"/>
      <c r="E115" s="17"/>
      <c r="F115" s="13"/>
      <c r="G115" s="13"/>
      <c r="H115" s="13"/>
      <c r="I115" s="13"/>
      <c r="J115" s="13"/>
      <c r="K115" s="13"/>
      <c r="L115" s="13"/>
      <c r="M115" s="13"/>
      <c r="N115" s="13"/>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row>
    <row r="117" spans="1:15" x14ac:dyDescent="0.3">
      <c r="A117" s="42" t="s">
        <v>57</v>
      </c>
      <c r="B117" s="137">
        <v>4873890856.7500029</v>
      </c>
      <c r="C117" s="137">
        <v>1446423852.6970563</v>
      </c>
      <c r="D117" s="137">
        <v>810555621.25270844</v>
      </c>
      <c r="E117" s="137">
        <v>1025792342.6912017</v>
      </c>
      <c r="F117" s="137">
        <v>1159887696.0619085</v>
      </c>
      <c r="G117" s="137">
        <v>346899320.43406755</v>
      </c>
      <c r="H117" s="137">
        <v>49808779.03115657</v>
      </c>
      <c r="I117" s="50">
        <v>9798860.9222339094</v>
      </c>
      <c r="J117" s="50">
        <v>2531829.7688780553</v>
      </c>
      <c r="K117" s="50">
        <v>0</v>
      </c>
      <c r="L117" s="50">
        <v>3272410.4593422422</v>
      </c>
      <c r="M117" s="50">
        <v>4251218.4058404919</v>
      </c>
      <c r="N117" s="50">
        <v>14668925.025609341</v>
      </c>
      <c r="O117" s="70"/>
    </row>
    <row r="118" spans="1:15" x14ac:dyDescent="0.3">
      <c r="A118" s="42" t="s">
        <v>67</v>
      </c>
      <c r="B118" s="100"/>
      <c r="C118" s="90"/>
      <c r="D118" s="90"/>
      <c r="E118" s="90"/>
      <c r="F118" s="90"/>
      <c r="G118" s="90"/>
      <c r="H118" s="90"/>
      <c r="I118" s="91"/>
      <c r="J118" s="91"/>
      <c r="K118" s="91"/>
      <c r="L118" s="91"/>
      <c r="M118" s="91"/>
      <c r="N118" s="91"/>
      <c r="O118" s="70"/>
    </row>
    <row r="119" spans="1:15" x14ac:dyDescent="0.3">
      <c r="A119" s="42" t="s">
        <v>68</v>
      </c>
      <c r="B119" s="100"/>
      <c r="C119" s="90"/>
      <c r="D119" s="90"/>
      <c r="E119" s="90"/>
      <c r="F119" s="90"/>
      <c r="G119" s="90"/>
      <c r="H119" s="90"/>
      <c r="I119" s="91"/>
      <c r="J119" s="91"/>
      <c r="K119" s="91"/>
      <c r="L119" s="91"/>
      <c r="M119" s="91"/>
      <c r="N119" s="91"/>
      <c r="O119" s="70"/>
    </row>
    <row r="120" spans="1:15" ht="14" thickBot="1" x14ac:dyDescent="0.35">
      <c r="A120" s="43" t="s">
        <v>69</v>
      </c>
      <c r="B120" s="93"/>
      <c r="C120" s="94"/>
      <c r="D120" s="94"/>
      <c r="E120" s="94"/>
      <c r="F120" s="94"/>
      <c r="G120" s="94"/>
      <c r="H120" s="94"/>
      <c r="I120" s="95"/>
      <c r="J120" s="95"/>
      <c r="K120" s="95"/>
      <c r="L120" s="95"/>
      <c r="M120" s="95"/>
      <c r="N120" s="95"/>
      <c r="O120" s="70"/>
    </row>
    <row r="121" spans="1:15" ht="14" thickTop="1" x14ac:dyDescent="0.3">
      <c r="A121" s="42" t="s">
        <v>1</v>
      </c>
      <c r="B121" s="97">
        <f>SUM(B117:B120)</f>
        <v>4873890856.7500029</v>
      </c>
      <c r="C121" s="97">
        <f>SUM(C117:C120)</f>
        <v>1446423852.6970563</v>
      </c>
      <c r="D121" s="97">
        <f t="shared" ref="D121:N121" si="10">SUM(D117:D120)</f>
        <v>810555621.25270844</v>
      </c>
      <c r="E121" s="97">
        <f t="shared" si="10"/>
        <v>1025792342.6912017</v>
      </c>
      <c r="F121" s="97">
        <f t="shared" si="10"/>
        <v>1159887696.0619085</v>
      </c>
      <c r="G121" s="97">
        <f t="shared" si="10"/>
        <v>346899320.43406755</v>
      </c>
      <c r="H121" s="97">
        <f t="shared" si="10"/>
        <v>49808779.03115657</v>
      </c>
      <c r="I121" s="97">
        <f t="shared" si="10"/>
        <v>9798860.9222339094</v>
      </c>
      <c r="J121" s="97">
        <f t="shared" si="10"/>
        <v>2531829.7688780553</v>
      </c>
      <c r="K121" s="97">
        <f t="shared" si="10"/>
        <v>0</v>
      </c>
      <c r="L121" s="97">
        <f t="shared" si="10"/>
        <v>3272410.4593422422</v>
      </c>
      <c r="M121" s="97">
        <f t="shared" si="10"/>
        <v>4251218.4058404919</v>
      </c>
      <c r="N121" s="97">
        <f t="shared" si="10"/>
        <v>14668925.025609341</v>
      </c>
      <c r="O121" s="70"/>
    </row>
    <row r="122" spans="1:15" x14ac:dyDescent="0.3">
      <c r="A122" s="26"/>
      <c r="B122" s="99"/>
      <c r="C122" s="99"/>
      <c r="D122" s="99"/>
      <c r="E122" s="99"/>
      <c r="F122" s="99"/>
      <c r="G122" s="99"/>
      <c r="H122" s="99"/>
      <c r="I122" s="99"/>
      <c r="J122" s="99"/>
      <c r="K122" s="99"/>
      <c r="L122" s="99"/>
      <c r="M122" s="99"/>
      <c r="N122" s="99"/>
      <c r="O122" s="67"/>
    </row>
    <row r="124" spans="1:15" x14ac:dyDescent="0.3">
      <c r="A124" s="164" t="s">
        <v>230</v>
      </c>
      <c r="B124" s="164"/>
      <c r="C124" s="164"/>
      <c r="D124" s="164"/>
      <c r="E124" s="164"/>
      <c r="F124" s="164"/>
      <c r="G124" s="164"/>
      <c r="H124" s="164"/>
      <c r="I124" s="164"/>
    </row>
    <row r="125" spans="1:15" ht="40.5" x14ac:dyDescent="0.3">
      <c r="A125" s="109" t="s">
        <v>50</v>
      </c>
      <c r="B125" s="109" t="s">
        <v>51</v>
      </c>
      <c r="C125" s="149" t="s">
        <v>204</v>
      </c>
      <c r="D125" s="149" t="s">
        <v>59</v>
      </c>
      <c r="E125" s="149" t="s">
        <v>61</v>
      </c>
      <c r="F125" s="149" t="s">
        <v>53</v>
      </c>
      <c r="G125" s="150" t="s">
        <v>60</v>
      </c>
      <c r="H125" s="151" t="s">
        <v>54</v>
      </c>
      <c r="I125" s="150" t="s">
        <v>55</v>
      </c>
    </row>
    <row r="126" spans="1:15" x14ac:dyDescent="0.3">
      <c r="A126" s="42" t="s">
        <v>97</v>
      </c>
      <c r="B126" s="70" t="s">
        <v>3</v>
      </c>
      <c r="C126" s="91">
        <v>343000000</v>
      </c>
      <c r="D126" s="277" t="s">
        <v>105</v>
      </c>
      <c r="E126" s="277">
        <v>42479</v>
      </c>
      <c r="F126" s="101" t="s">
        <v>56</v>
      </c>
      <c r="G126" s="101" t="s">
        <v>108</v>
      </c>
      <c r="H126" s="277" t="s">
        <v>114</v>
      </c>
      <c r="I126" s="143">
        <v>3</v>
      </c>
    </row>
    <row r="127" spans="1:15" x14ac:dyDescent="0.3">
      <c r="A127" s="42" t="s">
        <v>96</v>
      </c>
      <c r="B127" s="70" t="s">
        <v>3</v>
      </c>
      <c r="C127" s="91">
        <v>75000000</v>
      </c>
      <c r="D127" s="277" t="s">
        <v>104</v>
      </c>
      <c r="E127" s="277">
        <v>43173</v>
      </c>
      <c r="F127" s="101" t="s">
        <v>58</v>
      </c>
      <c r="G127" s="101" t="s">
        <v>109</v>
      </c>
      <c r="H127" s="277" t="s">
        <v>113</v>
      </c>
      <c r="I127" s="143">
        <v>5</v>
      </c>
    </row>
    <row r="128" spans="1:15" x14ac:dyDescent="0.3">
      <c r="A128" s="42" t="s">
        <v>99</v>
      </c>
      <c r="B128" s="70" t="s">
        <v>3</v>
      </c>
      <c r="C128" s="91">
        <v>634000000</v>
      </c>
      <c r="D128" s="277" t="s">
        <v>107</v>
      </c>
      <c r="E128" s="277">
        <v>42922</v>
      </c>
      <c r="F128" s="101" t="s">
        <v>56</v>
      </c>
      <c r="G128" s="101" t="s">
        <v>108</v>
      </c>
      <c r="H128" s="277" t="s">
        <v>116</v>
      </c>
      <c r="I128" s="143">
        <v>6</v>
      </c>
    </row>
    <row r="129" spans="1:9" x14ac:dyDescent="0.3">
      <c r="A129" s="42" t="s">
        <v>94</v>
      </c>
      <c r="B129" s="70" t="s">
        <v>3</v>
      </c>
      <c r="C129" s="91">
        <v>920000000</v>
      </c>
      <c r="D129" s="277" t="s">
        <v>102</v>
      </c>
      <c r="E129" s="277">
        <v>43357</v>
      </c>
      <c r="F129" s="101" t="s">
        <v>56</v>
      </c>
      <c r="G129" s="101" t="s">
        <v>108</v>
      </c>
      <c r="H129" s="277" t="s">
        <v>112</v>
      </c>
      <c r="I129" s="143">
        <v>7</v>
      </c>
    </row>
    <row r="130" spans="1:9" x14ac:dyDescent="0.3">
      <c r="A130" s="42" t="s">
        <v>95</v>
      </c>
      <c r="B130" s="70" t="s">
        <v>3</v>
      </c>
      <c r="C130" s="91">
        <v>264500000</v>
      </c>
      <c r="D130" s="277" t="s">
        <v>103</v>
      </c>
      <c r="E130" s="277">
        <v>42992</v>
      </c>
      <c r="F130" s="101" t="s">
        <v>56</v>
      </c>
      <c r="G130" s="101" t="s">
        <v>108</v>
      </c>
      <c r="H130" s="277" t="s">
        <v>112</v>
      </c>
      <c r="I130" s="143">
        <v>8</v>
      </c>
    </row>
    <row r="131" spans="1:9" x14ac:dyDescent="0.3">
      <c r="A131" s="42" t="s">
        <v>164</v>
      </c>
      <c r="B131" s="70" t="s">
        <v>3</v>
      </c>
      <c r="C131" s="91">
        <v>980000000</v>
      </c>
      <c r="D131" s="277">
        <f>E131-365</f>
        <v>43242</v>
      </c>
      <c r="E131" s="277">
        <v>43607</v>
      </c>
      <c r="F131" s="101" t="s">
        <v>56</v>
      </c>
      <c r="G131" s="101" t="s">
        <v>108</v>
      </c>
      <c r="H131" s="277">
        <v>41355</v>
      </c>
      <c r="I131" s="143">
        <v>9</v>
      </c>
    </row>
    <row r="132" spans="1:9" x14ac:dyDescent="0.3">
      <c r="A132" s="26" t="s">
        <v>167</v>
      </c>
      <c r="B132" s="70" t="s">
        <v>3</v>
      </c>
      <c r="C132" s="91">
        <v>395000000</v>
      </c>
      <c r="D132" s="277">
        <v>42464</v>
      </c>
      <c r="E132" s="277">
        <v>42829</v>
      </c>
      <c r="F132" s="101" t="s">
        <v>56</v>
      </c>
      <c r="G132" s="101" t="s">
        <v>108</v>
      </c>
      <c r="H132" s="277">
        <v>41367</v>
      </c>
      <c r="I132" s="143">
        <v>10</v>
      </c>
    </row>
    <row r="133" spans="1:9" x14ac:dyDescent="0.3">
      <c r="A133" s="26" t="s">
        <v>200</v>
      </c>
      <c r="B133" s="308" t="s">
        <v>3</v>
      </c>
      <c r="C133" s="92">
        <v>650000000</v>
      </c>
      <c r="D133" s="309">
        <v>43438</v>
      </c>
      <c r="E133" s="309">
        <v>43803</v>
      </c>
      <c r="F133" s="143" t="s">
        <v>58</v>
      </c>
      <c r="G133" s="143" t="s">
        <v>109</v>
      </c>
      <c r="H133" s="309">
        <v>41521</v>
      </c>
      <c r="I133" s="143">
        <v>11</v>
      </c>
    </row>
    <row r="134" spans="1:9" x14ac:dyDescent="0.3">
      <c r="A134" s="26" t="s">
        <v>206</v>
      </c>
      <c r="B134" s="308" t="s">
        <v>3</v>
      </c>
      <c r="C134" s="91">
        <v>445000000</v>
      </c>
      <c r="D134" s="277">
        <v>43640</v>
      </c>
      <c r="E134" s="277">
        <v>44006</v>
      </c>
      <c r="F134" s="101" t="s">
        <v>56</v>
      </c>
      <c r="G134" s="101" t="s">
        <v>108</v>
      </c>
      <c r="H134" s="309">
        <v>41663</v>
      </c>
      <c r="I134" s="143">
        <v>12</v>
      </c>
    </row>
    <row r="135" spans="1:9" ht="14" thickBot="1" x14ac:dyDescent="0.35">
      <c r="A135" s="43" t="s">
        <v>207</v>
      </c>
      <c r="B135" s="169" t="s">
        <v>3</v>
      </c>
      <c r="C135" s="95">
        <v>200000000</v>
      </c>
      <c r="D135" s="275">
        <v>44315</v>
      </c>
      <c r="E135" s="275">
        <v>44680</v>
      </c>
      <c r="F135" s="172" t="s">
        <v>56</v>
      </c>
      <c r="G135" s="171" t="s">
        <v>108</v>
      </c>
      <c r="H135" s="278">
        <v>41521</v>
      </c>
      <c r="I135" s="172">
        <v>13</v>
      </c>
    </row>
    <row r="136" spans="1:9" s="67" customFormat="1" ht="14" thickTop="1" x14ac:dyDescent="0.3">
      <c r="A136" s="26"/>
      <c r="C136" s="104"/>
      <c r="D136" s="102"/>
      <c r="E136" s="102"/>
      <c r="F136" s="105"/>
      <c r="I136" s="102"/>
    </row>
    <row r="137" spans="1:9" s="67" customFormat="1" x14ac:dyDescent="0.3">
      <c r="A137" s="26"/>
      <c r="C137" s="104"/>
      <c r="D137" s="102"/>
      <c r="E137" s="102"/>
      <c r="F137" s="105"/>
      <c r="I137" s="102"/>
    </row>
    <row r="138" spans="1:9" s="67" customFormat="1" x14ac:dyDescent="0.3">
      <c r="A138" s="164" t="s">
        <v>231</v>
      </c>
      <c r="B138" s="164"/>
      <c r="C138" s="164"/>
      <c r="D138" s="164"/>
      <c r="E138" s="164"/>
      <c r="F138" s="164"/>
      <c r="I138" s="102"/>
    </row>
    <row r="139" spans="1:9" s="67" customFormat="1" x14ac:dyDescent="0.3">
      <c r="A139" s="136" t="s">
        <v>119</v>
      </c>
      <c r="B139" s="19" t="s">
        <v>50</v>
      </c>
      <c r="C139" s="19" t="s">
        <v>120</v>
      </c>
      <c r="D139" s="19" t="s">
        <v>51</v>
      </c>
      <c r="E139" s="63" t="s">
        <v>121</v>
      </c>
      <c r="F139" s="63" t="s">
        <v>166</v>
      </c>
      <c r="I139" s="102"/>
    </row>
    <row r="140" spans="1:9" s="67" customFormat="1" x14ac:dyDescent="0.3">
      <c r="A140" s="8" t="s">
        <v>123</v>
      </c>
      <c r="B140" s="125" t="s">
        <v>124</v>
      </c>
      <c r="C140" s="125" t="s">
        <v>125</v>
      </c>
      <c r="D140" s="125" t="s">
        <v>3</v>
      </c>
      <c r="E140" s="92">
        <v>146223000</v>
      </c>
      <c r="F140" s="64" t="s">
        <v>126</v>
      </c>
      <c r="I140" s="102"/>
    </row>
    <row r="141" spans="1:9" s="67" customFormat="1" x14ac:dyDescent="0.3">
      <c r="A141" s="7" t="s">
        <v>168</v>
      </c>
      <c r="B141" s="126" t="s">
        <v>130</v>
      </c>
      <c r="C141" s="126" t="s">
        <v>128</v>
      </c>
      <c r="D141" s="126" t="s">
        <v>3</v>
      </c>
      <c r="E141" s="92">
        <v>25000000</v>
      </c>
      <c r="F141" s="64" t="s">
        <v>195</v>
      </c>
      <c r="I141" s="102"/>
    </row>
    <row r="142" spans="1:9" s="67" customFormat="1" x14ac:dyDescent="0.3">
      <c r="A142" s="7" t="s">
        <v>208</v>
      </c>
      <c r="B142" s="126" t="s">
        <v>213</v>
      </c>
      <c r="C142" s="126" t="s">
        <v>128</v>
      </c>
      <c r="D142" s="126" t="s">
        <v>3</v>
      </c>
      <c r="E142" s="91">
        <v>19000000</v>
      </c>
      <c r="F142" s="64" t="s">
        <v>129</v>
      </c>
      <c r="I142" s="102"/>
    </row>
    <row r="143" spans="1:9" s="67" customFormat="1" x14ac:dyDescent="0.3">
      <c r="A143" s="7" t="s">
        <v>209</v>
      </c>
      <c r="B143" s="126" t="s">
        <v>214</v>
      </c>
      <c r="C143" s="126" t="s">
        <v>128</v>
      </c>
      <c r="D143" s="126" t="s">
        <v>3</v>
      </c>
      <c r="E143" s="92">
        <v>141000000</v>
      </c>
      <c r="F143" s="64" t="s">
        <v>129</v>
      </c>
      <c r="I143" s="102"/>
    </row>
    <row r="144" spans="1:9" s="67" customFormat="1" x14ac:dyDescent="0.3">
      <c r="A144" s="7" t="s">
        <v>210</v>
      </c>
      <c r="B144" s="126" t="s">
        <v>215</v>
      </c>
      <c r="C144" s="126" t="s">
        <v>128</v>
      </c>
      <c r="D144" s="126" t="s">
        <v>3</v>
      </c>
      <c r="E144" s="92">
        <v>24000000</v>
      </c>
      <c r="F144" s="64" t="s">
        <v>129</v>
      </c>
      <c r="I144" s="102"/>
    </row>
    <row r="145" spans="1:11" s="67" customFormat="1" x14ac:dyDescent="0.3">
      <c r="A145" s="7" t="s">
        <v>171</v>
      </c>
      <c r="B145" s="126" t="s">
        <v>134</v>
      </c>
      <c r="C145" s="126" t="s">
        <v>128</v>
      </c>
      <c r="D145" s="126" t="s">
        <v>3</v>
      </c>
      <c r="E145" s="92">
        <v>25000000</v>
      </c>
      <c r="F145" s="64" t="s">
        <v>129</v>
      </c>
      <c r="I145" s="102"/>
    </row>
    <row r="146" spans="1:11" s="67" customFormat="1" x14ac:dyDescent="0.3">
      <c r="A146" s="7" t="s">
        <v>172</v>
      </c>
      <c r="B146" s="126" t="s">
        <v>178</v>
      </c>
      <c r="C146" s="126" t="s">
        <v>128</v>
      </c>
      <c r="D146" s="126" t="s">
        <v>3</v>
      </c>
      <c r="E146" s="92">
        <v>10000000</v>
      </c>
      <c r="F146" s="64" t="s">
        <v>129</v>
      </c>
      <c r="I146" s="102"/>
    </row>
    <row r="147" spans="1:11" s="67" customFormat="1" x14ac:dyDescent="0.3">
      <c r="A147" s="7" t="s">
        <v>187</v>
      </c>
      <c r="B147" s="126" t="s">
        <v>192</v>
      </c>
      <c r="C147" s="126" t="s">
        <v>128</v>
      </c>
      <c r="D147" s="126" t="s">
        <v>3</v>
      </c>
      <c r="E147" s="92">
        <v>50000000</v>
      </c>
      <c r="F147" s="64" t="s">
        <v>195</v>
      </c>
      <c r="I147" s="102"/>
    </row>
    <row r="148" spans="1:11" s="67" customFormat="1" x14ac:dyDescent="0.3">
      <c r="A148" s="7" t="s">
        <v>189</v>
      </c>
      <c r="B148" s="126" t="s">
        <v>193</v>
      </c>
      <c r="C148" s="126" t="s">
        <v>128</v>
      </c>
      <c r="D148" s="126" t="s">
        <v>3</v>
      </c>
      <c r="E148" s="92">
        <v>152000000</v>
      </c>
      <c r="F148" s="64" t="s">
        <v>129</v>
      </c>
      <c r="I148" s="102"/>
    </row>
    <row r="149" spans="1:11" s="67" customFormat="1" x14ac:dyDescent="0.3">
      <c r="A149" s="7" t="s">
        <v>211</v>
      </c>
      <c r="B149" s="126" t="s">
        <v>216</v>
      </c>
      <c r="C149" s="126" t="s">
        <v>128</v>
      </c>
      <c r="D149" s="126" t="s">
        <v>3</v>
      </c>
      <c r="E149" s="92">
        <v>124000000</v>
      </c>
      <c r="F149" s="64" t="s">
        <v>195</v>
      </c>
      <c r="I149" s="102"/>
    </row>
    <row r="150" spans="1:11" s="67" customFormat="1" x14ac:dyDescent="0.3">
      <c r="A150" s="7" t="s">
        <v>190</v>
      </c>
      <c r="B150" s="126" t="s">
        <v>194</v>
      </c>
      <c r="C150" s="126" t="s">
        <v>128</v>
      </c>
      <c r="D150" s="126" t="s">
        <v>3</v>
      </c>
      <c r="E150" s="92">
        <v>45000000</v>
      </c>
      <c r="F150" s="64" t="s">
        <v>129</v>
      </c>
      <c r="I150" s="102"/>
    </row>
    <row r="151" spans="1:11" s="67" customFormat="1" x14ac:dyDescent="0.3">
      <c r="A151" s="7" t="s">
        <v>175</v>
      </c>
      <c r="B151" s="126" t="s">
        <v>163</v>
      </c>
      <c r="C151" s="126" t="s">
        <v>128</v>
      </c>
      <c r="D151" s="126" t="s">
        <v>3</v>
      </c>
      <c r="E151" s="92">
        <v>25000000</v>
      </c>
      <c r="F151" s="64" t="s">
        <v>195</v>
      </c>
      <c r="I151" s="102"/>
    </row>
    <row r="152" spans="1:11" s="67" customFormat="1" ht="14" thickBot="1" x14ac:dyDescent="0.35">
      <c r="A152" s="3" t="s">
        <v>212</v>
      </c>
      <c r="B152" s="165" t="s">
        <v>217</v>
      </c>
      <c r="C152" s="165" t="s">
        <v>128</v>
      </c>
      <c r="D152" s="128" t="s">
        <v>3</v>
      </c>
      <c r="E152" s="96">
        <v>100000000</v>
      </c>
      <c r="F152" s="66" t="s">
        <v>129</v>
      </c>
      <c r="I152" s="102"/>
    </row>
    <row r="153" spans="1:11" s="67" customFormat="1" ht="14" thickTop="1" x14ac:dyDescent="0.3">
      <c r="A153" s="5" t="s">
        <v>1</v>
      </c>
      <c r="B153" s="166"/>
      <c r="C153" s="166"/>
      <c r="D153" s="166"/>
      <c r="E153" s="103">
        <f>SUM(E140:E152)</f>
        <v>886223000</v>
      </c>
      <c r="F153" s="167"/>
      <c r="I153" s="102"/>
    </row>
    <row r="154" spans="1:11" s="67" customFormat="1" x14ac:dyDescent="0.3">
      <c r="A154" s="26"/>
      <c r="C154" s="104"/>
      <c r="D154" s="102"/>
      <c r="E154" s="102"/>
      <c r="F154" s="105"/>
      <c r="I154" s="102"/>
    </row>
    <row r="155" spans="1:11" x14ac:dyDescent="0.3">
      <c r="A155" s="67"/>
      <c r="B155" s="67"/>
      <c r="C155" s="67"/>
      <c r="D155" s="67"/>
      <c r="E155" s="67"/>
      <c r="F155" s="67"/>
      <c r="G155" s="67"/>
      <c r="H155" s="67"/>
      <c r="I155" s="67"/>
      <c r="J155" s="67"/>
      <c r="K155" s="67"/>
    </row>
    <row r="156" spans="1:11" x14ac:dyDescent="0.3">
      <c r="A156" s="164" t="s">
        <v>232</v>
      </c>
      <c r="B156" s="164"/>
      <c r="C156" s="164"/>
      <c r="D156" s="164"/>
      <c r="E156" s="164"/>
    </row>
    <row r="176" spans="1:1" x14ac:dyDescent="0.3">
      <c r="A176"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177"/>
  <sheetViews>
    <sheetView workbookViewId="0">
      <selection activeCell="B10" sqref="B10"/>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41912</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4714026301.5300016</v>
      </c>
      <c r="C7" s="121"/>
      <c r="D7" s="174"/>
      <c r="E7" s="119"/>
      <c r="F7" s="120"/>
      <c r="G7" s="55"/>
      <c r="H7" s="55"/>
      <c r="I7" s="67"/>
      <c r="J7" s="67"/>
      <c r="K7" s="67"/>
      <c r="L7" s="67"/>
      <c r="M7" s="67"/>
    </row>
    <row r="8" spans="1:13" x14ac:dyDescent="0.3">
      <c r="A8" s="56" t="s">
        <v>78</v>
      </c>
      <c r="B8" s="123">
        <v>1112848.5131090656</v>
      </c>
      <c r="C8" s="121"/>
      <c r="D8" s="175"/>
      <c r="E8" s="119"/>
      <c r="F8" s="120"/>
      <c r="G8" s="55"/>
      <c r="H8" s="55"/>
      <c r="I8" s="67"/>
      <c r="J8" s="67"/>
      <c r="K8" s="67"/>
      <c r="L8" s="67"/>
      <c r="M8" s="67"/>
    </row>
    <row r="9" spans="1:13" x14ac:dyDescent="0.3">
      <c r="A9" s="56" t="s">
        <v>73</v>
      </c>
      <c r="B9" s="123">
        <v>4236</v>
      </c>
      <c r="C9" s="121"/>
      <c r="D9" s="174"/>
      <c r="E9" s="119"/>
      <c r="F9" s="120"/>
      <c r="G9" s="55"/>
      <c r="H9" s="55"/>
      <c r="I9" s="67"/>
      <c r="J9" s="67"/>
      <c r="K9" s="67"/>
      <c r="L9" s="67"/>
      <c r="M9" s="67"/>
    </row>
    <row r="10" spans="1:13" ht="13.5" customHeight="1" x14ac:dyDescent="0.3">
      <c r="A10" s="56" t="s">
        <v>79</v>
      </c>
      <c r="B10" s="56">
        <v>1.0182378487031551E-2</v>
      </c>
      <c r="C10" s="121"/>
      <c r="D10" s="118"/>
      <c r="E10" s="119"/>
      <c r="F10" s="120"/>
      <c r="G10" s="55"/>
      <c r="H10" s="55"/>
      <c r="I10" s="67"/>
      <c r="J10" s="67"/>
      <c r="K10" s="67"/>
      <c r="L10" s="67"/>
      <c r="M10" s="67"/>
    </row>
    <row r="11" spans="1:13" x14ac:dyDescent="0.3">
      <c r="A11" s="56" t="s">
        <v>74</v>
      </c>
      <c r="B11" s="123">
        <v>36.173363040388857</v>
      </c>
      <c r="C11" s="121"/>
      <c r="D11" s="118"/>
      <c r="E11" s="119"/>
      <c r="F11" s="120"/>
      <c r="G11" s="55"/>
      <c r="H11" s="55"/>
      <c r="I11" s="67"/>
      <c r="J11" s="67"/>
      <c r="K11" s="67"/>
      <c r="L11" s="67"/>
      <c r="M11" s="67"/>
    </row>
    <row r="12" spans="1:13" x14ac:dyDescent="0.3">
      <c r="A12" s="56" t="s">
        <v>81</v>
      </c>
      <c r="B12" s="123">
        <v>165</v>
      </c>
      <c r="C12" s="121"/>
      <c r="D12" s="118"/>
      <c r="E12" s="119"/>
      <c r="F12" s="120"/>
      <c r="G12" s="55"/>
      <c r="H12" s="55"/>
      <c r="I12" s="67"/>
      <c r="J12" s="67"/>
      <c r="K12" s="67"/>
      <c r="L12" s="67"/>
      <c r="M12" s="67"/>
    </row>
    <row r="13" spans="1:13" x14ac:dyDescent="0.3">
      <c r="A13" s="56" t="s">
        <v>75</v>
      </c>
      <c r="B13" s="123">
        <v>4080</v>
      </c>
      <c r="C13" s="121"/>
      <c r="D13" s="118"/>
      <c r="E13" s="119"/>
      <c r="F13" s="120"/>
      <c r="G13" s="55"/>
      <c r="H13" s="55"/>
      <c r="I13" s="295"/>
      <c r="J13" s="295"/>
      <c r="K13" s="67"/>
      <c r="L13" s="67"/>
      <c r="M13" s="67"/>
    </row>
    <row r="14" spans="1:13" x14ac:dyDescent="0.3">
      <c r="A14" s="56" t="s">
        <v>196</v>
      </c>
      <c r="B14" s="56">
        <v>0.51386593923273272</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f>SUM(B85:B87)/B7</f>
        <v>8.9816193826195042E-4</v>
      </c>
      <c r="C17" s="121"/>
      <c r="D17" s="118"/>
      <c r="E17" s="119"/>
      <c r="F17" s="120"/>
      <c r="G17" s="55"/>
      <c r="H17" s="55"/>
      <c r="I17" s="295"/>
      <c r="J17" s="295"/>
      <c r="K17" s="67"/>
      <c r="L17" s="67"/>
      <c r="M17" s="67"/>
    </row>
    <row r="18" spans="1:13" x14ac:dyDescent="0.3">
      <c r="A18" s="56" t="s">
        <v>49</v>
      </c>
      <c r="B18" s="123">
        <f>E154</f>
        <v>872778000</v>
      </c>
      <c r="C18" s="121"/>
      <c r="D18" s="121"/>
      <c r="E18" s="55"/>
      <c r="F18" s="186"/>
      <c r="G18" s="306"/>
      <c r="H18" s="297"/>
      <c r="I18" s="297"/>
      <c r="J18" s="167"/>
      <c r="K18" s="67"/>
      <c r="L18" s="67"/>
      <c r="M18" s="67"/>
    </row>
    <row r="19" spans="1:13" x14ac:dyDescent="0.3">
      <c r="A19" s="57" t="s">
        <v>80</v>
      </c>
      <c r="B19" s="58">
        <v>5636910000</v>
      </c>
      <c r="C19" s="59"/>
      <c r="D19" s="311" t="s">
        <v>234</v>
      </c>
      <c r="E19" s="318" t="s">
        <v>235</v>
      </c>
      <c r="F19" s="186"/>
      <c r="G19" s="307"/>
      <c r="H19" s="297"/>
      <c r="I19" s="297"/>
      <c r="J19" s="167"/>
      <c r="K19" s="67"/>
      <c r="L19" s="67"/>
      <c r="M19" s="67"/>
    </row>
    <row r="20" spans="1:13" x14ac:dyDescent="0.3">
      <c r="A20" s="305" t="s">
        <v>197</v>
      </c>
      <c r="B20" s="310">
        <f>$B$19/E20-1</f>
        <v>0.16483662270097632</v>
      </c>
      <c r="C20" s="59"/>
      <c r="D20" s="311">
        <v>202146768.26538765</v>
      </c>
      <c r="E20" s="318">
        <v>4839228000</v>
      </c>
      <c r="F20" s="186"/>
      <c r="G20" s="307"/>
      <c r="H20" s="297"/>
      <c r="I20" s="297"/>
      <c r="J20" s="167"/>
      <c r="K20" s="67"/>
      <c r="L20" s="67"/>
      <c r="M20" s="67"/>
    </row>
    <row r="21" spans="1:13" x14ac:dyDescent="0.3">
      <c r="A21" s="305" t="s">
        <v>198</v>
      </c>
      <c r="B21" s="310">
        <f>($B$19-D21)/E20-1</f>
        <v>0.12306409859891132</v>
      </c>
      <c r="C21" s="59"/>
      <c r="D21" s="318">
        <v>202146768.26538765</v>
      </c>
      <c r="E21" s="318"/>
      <c r="F21" s="186"/>
      <c r="G21" s="307"/>
      <c r="H21" s="297"/>
      <c r="I21" s="297"/>
      <c r="J21" s="167"/>
      <c r="K21" s="67"/>
      <c r="L21" s="67"/>
      <c r="M21" s="67"/>
    </row>
    <row r="22" spans="1:13" x14ac:dyDescent="0.3">
      <c r="A22" s="305" t="s">
        <v>233</v>
      </c>
      <c r="B22" s="310">
        <f>($B$19-D22)/E20-1</f>
        <v>6.8158195190723747E-2</v>
      </c>
      <c r="C22" s="59"/>
      <c r="D22" s="318">
        <v>467848953.40358448</v>
      </c>
      <c r="E22" s="318"/>
      <c r="F22" s="186"/>
      <c r="G22" s="307"/>
      <c r="H22" s="297"/>
      <c r="I22" s="297"/>
      <c r="J22" s="167"/>
      <c r="K22" s="67"/>
      <c r="L22" s="67"/>
      <c r="M22" s="67"/>
    </row>
    <row r="23" spans="1:13" s="54" customFormat="1" x14ac:dyDescent="0.3">
      <c r="A23" s="59"/>
      <c r="B23" s="60"/>
      <c r="C23" s="59"/>
      <c r="D23" s="59"/>
      <c r="E23" s="61"/>
      <c r="F23" s="186"/>
      <c r="G23" s="306"/>
      <c r="H23" s="297"/>
      <c r="I23" s="297"/>
      <c r="J23" s="167"/>
      <c r="K23" s="55"/>
      <c r="L23" s="55"/>
      <c r="M23" s="55"/>
    </row>
    <row r="24" spans="1:13" x14ac:dyDescent="0.3">
      <c r="F24" s="186"/>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1245532496.02</v>
      </c>
      <c r="C28" s="129">
        <v>1902</v>
      </c>
      <c r="D28" s="64">
        <f t="shared" ref="D28:D37" si="0">B28/$B$40</f>
        <v>0.26423460829431944</v>
      </c>
      <c r="E28" s="173"/>
      <c r="F28" s="186"/>
      <c r="G28" s="186"/>
      <c r="H28" s="297"/>
      <c r="I28" s="298"/>
      <c r="J28" s="167"/>
      <c r="K28" s="67"/>
      <c r="L28" s="67"/>
      <c r="M28" s="67"/>
    </row>
    <row r="29" spans="1:13" ht="14.5" x14ac:dyDescent="0.35">
      <c r="A29" s="6" t="s">
        <v>7</v>
      </c>
      <c r="B29" s="126">
        <v>741334903.8499999</v>
      </c>
      <c r="C29" s="129">
        <v>614</v>
      </c>
      <c r="D29" s="64">
        <f t="shared" si="0"/>
        <v>0.15727115796629224</v>
      </c>
      <c r="E29" s="173"/>
      <c r="F29" s="116"/>
      <c r="G29" s="116"/>
      <c r="H29" s="116"/>
      <c r="I29" s="116"/>
      <c r="J29" s="167"/>
      <c r="K29" s="67"/>
      <c r="L29" s="67"/>
      <c r="M29" s="67"/>
    </row>
    <row r="30" spans="1:13" ht="14.5" x14ac:dyDescent="0.35">
      <c r="A30" s="6" t="s">
        <v>8</v>
      </c>
      <c r="B30" s="126">
        <v>937837389.02999997</v>
      </c>
      <c r="C30" s="129">
        <v>660</v>
      </c>
      <c r="D30" s="64">
        <f t="shared" si="0"/>
        <v>0.19895835389760086</v>
      </c>
      <c r="E30" s="173"/>
      <c r="F30" s="59"/>
      <c r="G30" s="59"/>
      <c r="H30" s="59"/>
      <c r="I30" s="59"/>
      <c r="J30" s="167"/>
      <c r="K30" s="67"/>
      <c r="L30" s="67"/>
      <c r="M30" s="67"/>
    </row>
    <row r="31" spans="1:13" ht="14.5" x14ac:dyDescent="0.35">
      <c r="A31" s="6" t="s">
        <v>9</v>
      </c>
      <c r="B31" s="126">
        <v>1123631253.6099999</v>
      </c>
      <c r="C31" s="129">
        <v>685</v>
      </c>
      <c r="D31" s="64">
        <f t="shared" si="0"/>
        <v>0.23837375990881088</v>
      </c>
      <c r="E31" s="173"/>
      <c r="F31" s="316"/>
      <c r="G31" s="317"/>
      <c r="H31" s="317"/>
      <c r="I31" s="176"/>
      <c r="J31" s="167"/>
      <c r="K31" s="67"/>
      <c r="L31" s="67"/>
      <c r="M31" s="67"/>
    </row>
    <row r="32" spans="1:13" ht="14.5" x14ac:dyDescent="0.35">
      <c r="A32" s="6" t="s">
        <v>140</v>
      </c>
      <c r="B32" s="126">
        <v>499324107.36000007</v>
      </c>
      <c r="C32" s="129">
        <v>291</v>
      </c>
      <c r="D32" s="64">
        <f t="shared" si="0"/>
        <v>0.10592956052273222</v>
      </c>
      <c r="E32" s="173"/>
      <c r="F32" s="304"/>
      <c r="G32" s="297"/>
      <c r="H32" s="297"/>
      <c r="I32" s="121"/>
      <c r="J32" s="167"/>
      <c r="K32" s="67"/>
      <c r="L32" s="67"/>
      <c r="M32" s="67"/>
    </row>
    <row r="33" spans="1:13" ht="14.5" x14ac:dyDescent="0.35">
      <c r="A33" s="6" t="s">
        <v>141</v>
      </c>
      <c r="B33" s="126">
        <v>116931373.72999999</v>
      </c>
      <c r="C33" s="129">
        <v>63</v>
      </c>
      <c r="D33" s="64">
        <f t="shared" si="0"/>
        <v>2.4806511137680579E-2</v>
      </c>
      <c r="E33" s="173"/>
      <c r="F33" s="304"/>
      <c r="G33" s="297"/>
      <c r="H33" s="297"/>
      <c r="I33" s="121"/>
      <c r="J33" s="303"/>
      <c r="K33" s="67"/>
      <c r="L33" s="67"/>
      <c r="M33" s="67"/>
    </row>
    <row r="34" spans="1:13" ht="14.5" x14ac:dyDescent="0.35">
      <c r="A34" s="6" t="s">
        <v>10</v>
      </c>
      <c r="B34" s="126">
        <v>21784032.370000001</v>
      </c>
      <c r="C34" s="129">
        <v>9</v>
      </c>
      <c r="D34" s="64">
        <f t="shared" si="0"/>
        <v>4.6213930818753178E-3</v>
      </c>
      <c r="E34" s="173"/>
      <c r="F34" s="304"/>
      <c r="G34" s="297"/>
      <c r="H34" s="297"/>
      <c r="I34" s="121"/>
      <c r="J34" s="295"/>
      <c r="K34" s="67"/>
      <c r="L34" s="67"/>
      <c r="M34" s="67"/>
    </row>
    <row r="35" spans="1:13" ht="14.5" x14ac:dyDescent="0.35">
      <c r="A35" s="6" t="s">
        <v>11</v>
      </c>
      <c r="B35" s="134">
        <v>0</v>
      </c>
      <c r="C35" s="135">
        <v>0</v>
      </c>
      <c r="D35" s="64">
        <f t="shared" si="0"/>
        <v>0</v>
      </c>
      <c r="E35" s="173"/>
      <c r="F35" s="304"/>
      <c r="G35" s="297"/>
      <c r="H35" s="297"/>
      <c r="I35" s="121"/>
      <c r="J35" s="67"/>
      <c r="K35" s="67"/>
      <c r="L35" s="67"/>
      <c r="M35" s="67"/>
    </row>
    <row r="36" spans="1:13" ht="14.5" x14ac:dyDescent="0.35">
      <c r="A36" s="6" t="s">
        <v>12</v>
      </c>
      <c r="B36" s="130">
        <v>5358215.04</v>
      </c>
      <c r="C36" s="131">
        <v>2</v>
      </c>
      <c r="D36" s="64">
        <f t="shared" si="0"/>
        <v>1.1367233346181573E-3</v>
      </c>
      <c r="E36" s="173"/>
      <c r="F36" s="304"/>
      <c r="G36" s="297"/>
      <c r="H36" s="297"/>
      <c r="I36" s="121"/>
      <c r="J36" s="67"/>
      <c r="K36" s="67"/>
      <c r="L36" s="67"/>
      <c r="M36" s="67"/>
    </row>
    <row r="37" spans="1:13" ht="14.5" x14ac:dyDescent="0.35">
      <c r="A37" s="6" t="s">
        <v>13</v>
      </c>
      <c r="B37" s="130">
        <v>4116409.09</v>
      </c>
      <c r="C37" s="131">
        <v>2</v>
      </c>
      <c r="D37" s="64">
        <f t="shared" si="0"/>
        <v>8.7327929777101555E-4</v>
      </c>
      <c r="E37" s="173"/>
      <c r="F37" s="304"/>
      <c r="G37" s="297"/>
      <c r="H37" s="297"/>
      <c r="I37" s="121"/>
      <c r="J37" s="67"/>
      <c r="K37" s="67"/>
      <c r="L37" s="67"/>
      <c r="M37" s="67"/>
    </row>
    <row r="38" spans="1:13" ht="14.5" x14ac:dyDescent="0.35">
      <c r="A38" s="6" t="s">
        <v>14</v>
      </c>
      <c r="B38" s="130">
        <v>0</v>
      </c>
      <c r="C38" s="131">
        <v>0</v>
      </c>
      <c r="D38" s="64">
        <f>B38/$B$40</f>
        <v>0</v>
      </c>
      <c r="E38" s="173"/>
      <c r="F38" s="304"/>
      <c r="G38" s="297"/>
      <c r="H38" s="297"/>
      <c r="I38" s="121"/>
      <c r="J38" s="67"/>
      <c r="K38" s="67"/>
      <c r="L38" s="67"/>
      <c r="M38" s="67"/>
    </row>
    <row r="39" spans="1:13" ht="15" thickBot="1" x14ac:dyDescent="0.4">
      <c r="A39" s="4" t="s">
        <v>15</v>
      </c>
      <c r="B39" s="132">
        <v>17886994.829999998</v>
      </c>
      <c r="C39" s="287">
        <v>7</v>
      </c>
      <c r="D39" s="65">
        <f>B39/$B$40</f>
        <v>3.7946525582995896E-3</v>
      </c>
      <c r="E39" s="173"/>
      <c r="F39" s="304"/>
      <c r="G39" s="298"/>
      <c r="H39" s="298"/>
      <c r="I39" s="121"/>
      <c r="J39" s="67"/>
      <c r="K39" s="67"/>
      <c r="L39" s="67"/>
      <c r="M39" s="67"/>
    </row>
    <row r="40" spans="1:13" ht="15" thickTop="1" x14ac:dyDescent="0.35">
      <c r="A40" s="1" t="s">
        <v>1</v>
      </c>
      <c r="B40" s="18">
        <f>SUM(B28:B39)</f>
        <v>4713737174.9299984</v>
      </c>
      <c r="C40" s="133">
        <f>SUM(C28:C39)</f>
        <v>4235</v>
      </c>
      <c r="D40" s="300">
        <f>SUM(D28:D39)</f>
        <v>1.0000000000000002</v>
      </c>
      <c r="E40" s="173"/>
      <c r="F40" s="304"/>
      <c r="G40" s="299"/>
      <c r="H40" s="299"/>
      <c r="I40" s="121"/>
    </row>
    <row r="41" spans="1:13" x14ac:dyDescent="0.3">
      <c r="F41" s="304"/>
      <c r="G41" s="299"/>
      <c r="H41" s="299"/>
      <c r="I41" s="121"/>
    </row>
    <row r="42" spans="1:13" x14ac:dyDescent="0.3">
      <c r="F42" s="304"/>
      <c r="G42" s="299"/>
      <c r="H42" s="299"/>
      <c r="I42" s="121"/>
    </row>
    <row r="43" spans="1:13" x14ac:dyDescent="0.3">
      <c r="A43" s="163" t="s">
        <v>218</v>
      </c>
      <c r="B43" s="164"/>
      <c r="C43" s="163"/>
      <c r="D43" s="164"/>
      <c r="F43" s="304"/>
      <c r="G43" s="299"/>
      <c r="H43" s="299"/>
      <c r="I43" s="121"/>
    </row>
    <row r="44" spans="1:13" x14ac:dyDescent="0.3">
      <c r="A44" s="106"/>
      <c r="B44" s="106"/>
      <c r="C44" s="106"/>
      <c r="D44" s="106"/>
      <c r="F44" s="304"/>
      <c r="G44" s="301"/>
      <c r="H44" s="302"/>
      <c r="I44" s="303"/>
    </row>
    <row r="45" spans="1:13" x14ac:dyDescent="0.3">
      <c r="A45" s="9" t="s">
        <v>219</v>
      </c>
      <c r="B45" s="10" t="s">
        <v>4</v>
      </c>
      <c r="C45" s="10" t="s">
        <v>5</v>
      </c>
      <c r="D45" s="63" t="s">
        <v>17</v>
      </c>
    </row>
    <row r="46" spans="1:13" x14ac:dyDescent="0.3">
      <c r="A46" s="6" t="s">
        <v>220</v>
      </c>
      <c r="B46" s="126">
        <v>176446977.45000008</v>
      </c>
      <c r="C46" s="129">
        <v>1206</v>
      </c>
      <c r="D46" s="64">
        <f>B46/$B$40</f>
        <v>3.7432502259233495E-2</v>
      </c>
    </row>
    <row r="47" spans="1:13" x14ac:dyDescent="0.3">
      <c r="A47" s="6" t="s">
        <v>221</v>
      </c>
      <c r="B47" s="126">
        <v>660755763.31999993</v>
      </c>
      <c r="C47" s="129">
        <v>880</v>
      </c>
      <c r="D47" s="64">
        <f t="shared" ref="D47:D49" si="1">B47/$B$40</f>
        <v>0.14017662393954167</v>
      </c>
    </row>
    <row r="48" spans="1:13" x14ac:dyDescent="0.3">
      <c r="A48" s="6" t="s">
        <v>222</v>
      </c>
      <c r="B48" s="126">
        <v>2163911395.9100008</v>
      </c>
      <c r="C48" s="129">
        <v>1507</v>
      </c>
      <c r="D48" s="64">
        <f t="shared" si="1"/>
        <v>0.45906492356399486</v>
      </c>
    </row>
    <row r="49" spans="1:14" x14ac:dyDescent="0.3">
      <c r="A49" s="6" t="s">
        <v>223</v>
      </c>
      <c r="B49" s="126">
        <v>1166187942.5100002</v>
      </c>
      <c r="C49" s="129">
        <v>492</v>
      </c>
      <c r="D49" s="64">
        <f t="shared" si="1"/>
        <v>0.24740198683803766</v>
      </c>
    </row>
    <row r="50" spans="1:14" ht="14" thickBot="1" x14ac:dyDescent="0.35">
      <c r="A50" s="4" t="s">
        <v>224</v>
      </c>
      <c r="B50" s="132">
        <v>546724222.33999991</v>
      </c>
      <c r="C50" s="287">
        <v>150</v>
      </c>
      <c r="D50" s="65">
        <f>B50/$B$40</f>
        <v>0.11598530042102295</v>
      </c>
    </row>
    <row r="51" spans="1:14" ht="14" thickTop="1" x14ac:dyDescent="0.3">
      <c r="A51" s="1" t="s">
        <v>1</v>
      </c>
      <c r="B51" s="18">
        <f>SUM(B46:B50)</f>
        <v>4714026301.5300007</v>
      </c>
      <c r="C51" s="133">
        <f>SUM(C46:C50)</f>
        <v>4235</v>
      </c>
      <c r="D51" s="300">
        <f>SUM(D46:D50)</f>
        <v>1.0000613370218308</v>
      </c>
    </row>
    <row r="54" spans="1:14" x14ac:dyDescent="0.3">
      <c r="A54" s="164" t="s">
        <v>225</v>
      </c>
      <c r="B54" s="164"/>
      <c r="C54" s="164"/>
      <c r="D54" s="293"/>
      <c r="E54" s="293"/>
      <c r="F54" s="293"/>
      <c r="G54" s="293"/>
      <c r="H54" s="293"/>
      <c r="I54" s="293"/>
      <c r="J54" s="293"/>
      <c r="K54" s="164"/>
      <c r="L54" s="164"/>
      <c r="M54" s="164"/>
      <c r="N54" s="164"/>
    </row>
    <row r="55" spans="1:14" s="68" customFormat="1" x14ac:dyDescent="0.3">
      <c r="A55" s="107"/>
      <c r="B55" s="155" t="s">
        <v>1</v>
      </c>
      <c r="C55" s="158" t="s">
        <v>18</v>
      </c>
      <c r="D55" s="281" t="s">
        <v>19</v>
      </c>
      <c r="E55" s="281" t="s">
        <v>20</v>
      </c>
      <c r="F55" s="281" t="s">
        <v>21</v>
      </c>
      <c r="G55" s="281" t="s">
        <v>138</v>
      </c>
      <c r="H55" s="281" t="s">
        <v>139</v>
      </c>
      <c r="I55" s="281" t="s">
        <v>22</v>
      </c>
      <c r="J55" s="281" t="s">
        <v>23</v>
      </c>
      <c r="K55" s="313" t="s">
        <v>24</v>
      </c>
      <c r="L55" s="281" t="s">
        <v>25</v>
      </c>
      <c r="M55" s="159" t="s">
        <v>26</v>
      </c>
      <c r="N55" s="160" t="s">
        <v>27</v>
      </c>
    </row>
    <row r="56" spans="1:14" x14ac:dyDescent="0.3">
      <c r="A56" s="153" t="s">
        <v>28</v>
      </c>
      <c r="B56" s="288">
        <f t="shared" ref="B56:B75" si="2">SUM(C56:N56)</f>
        <v>152796355.44</v>
      </c>
      <c r="C56" s="87">
        <v>41202430.829999998</v>
      </c>
      <c r="D56" s="87">
        <v>35158463.959999993</v>
      </c>
      <c r="E56" s="87">
        <v>32974902.719999999</v>
      </c>
      <c r="F56" s="87">
        <v>32843593</v>
      </c>
      <c r="G56" s="87">
        <v>10616964.93</v>
      </c>
      <c r="H56" s="87">
        <v>0</v>
      </c>
      <c r="I56" s="87">
        <v>0</v>
      </c>
      <c r="J56" s="87">
        <v>0</v>
      </c>
      <c r="K56" s="283">
        <v>0</v>
      </c>
      <c r="L56" s="291">
        <v>0</v>
      </c>
      <c r="M56" s="291">
        <v>0</v>
      </c>
      <c r="N56" s="161">
        <v>0</v>
      </c>
    </row>
    <row r="57" spans="1:14" x14ac:dyDescent="0.3">
      <c r="A57" s="154" t="s">
        <v>29</v>
      </c>
      <c r="B57" s="282">
        <f>SUM(C57:N57)</f>
        <v>181255271.99000001</v>
      </c>
      <c r="C57" s="92">
        <v>34193299.220000006</v>
      </c>
      <c r="D57" s="92">
        <v>23174601.989999998</v>
      </c>
      <c r="E57" s="92">
        <v>41076951.060000002</v>
      </c>
      <c r="F57" s="92">
        <v>57240259.710000001</v>
      </c>
      <c r="G57" s="92">
        <v>22110354.509999998</v>
      </c>
      <c r="H57" s="92">
        <v>3459805.5</v>
      </c>
      <c r="I57" s="92">
        <v>0</v>
      </c>
      <c r="J57" s="92">
        <v>0</v>
      </c>
      <c r="K57" s="283">
        <v>0</v>
      </c>
      <c r="L57" s="283">
        <v>0</v>
      </c>
      <c r="M57" s="283">
        <v>0</v>
      </c>
      <c r="N57" s="162">
        <v>0</v>
      </c>
    </row>
    <row r="58" spans="1:14" x14ac:dyDescent="0.3">
      <c r="A58" s="154" t="s">
        <v>30</v>
      </c>
      <c r="B58" s="282">
        <f t="shared" si="2"/>
        <v>23603848.859999999</v>
      </c>
      <c r="C58" s="92">
        <v>3398725</v>
      </c>
      <c r="D58" s="92">
        <v>3068609.58</v>
      </c>
      <c r="E58" s="92">
        <v>4828012.2799999993</v>
      </c>
      <c r="F58" s="92">
        <v>12308502</v>
      </c>
      <c r="G58" s="92">
        <v>0</v>
      </c>
      <c r="H58" s="92">
        <v>0</v>
      </c>
      <c r="I58" s="92">
        <v>0</v>
      </c>
      <c r="J58" s="92">
        <v>0</v>
      </c>
      <c r="K58" s="283">
        <v>0</v>
      </c>
      <c r="L58" s="283">
        <v>0</v>
      </c>
      <c r="M58" s="283">
        <v>0</v>
      </c>
      <c r="N58" s="162">
        <v>0</v>
      </c>
    </row>
    <row r="59" spans="1:14" x14ac:dyDescent="0.3">
      <c r="A59" s="154" t="s">
        <v>142</v>
      </c>
      <c r="B59" s="282">
        <f t="shared" si="2"/>
        <v>0</v>
      </c>
      <c r="C59" s="92">
        <v>0</v>
      </c>
      <c r="D59" s="92">
        <v>0</v>
      </c>
      <c r="E59" s="92">
        <v>0</v>
      </c>
      <c r="F59" s="92">
        <v>0</v>
      </c>
      <c r="G59" s="92">
        <v>0</v>
      </c>
      <c r="H59" s="92">
        <v>0</v>
      </c>
      <c r="I59" s="92">
        <v>0</v>
      </c>
      <c r="J59" s="92">
        <v>0</v>
      </c>
      <c r="K59" s="283">
        <v>0</v>
      </c>
      <c r="L59" s="283">
        <v>0</v>
      </c>
      <c r="M59" s="283">
        <v>0</v>
      </c>
      <c r="N59" s="162">
        <v>0</v>
      </c>
    </row>
    <row r="60" spans="1:14" x14ac:dyDescent="0.3">
      <c r="A60" s="154" t="s">
        <v>31</v>
      </c>
      <c r="B60" s="282">
        <f t="shared" si="2"/>
        <v>4649867</v>
      </c>
      <c r="C60" s="92">
        <v>0</v>
      </c>
      <c r="D60" s="92">
        <v>0</v>
      </c>
      <c r="E60" s="92">
        <v>0</v>
      </c>
      <c r="F60" s="92">
        <v>1840483</v>
      </c>
      <c r="G60" s="92">
        <v>2136542</v>
      </c>
      <c r="H60" s="92">
        <v>672842</v>
      </c>
      <c r="I60" s="92">
        <v>0</v>
      </c>
      <c r="J60" s="92">
        <v>0</v>
      </c>
      <c r="K60" s="283">
        <v>0</v>
      </c>
      <c r="L60" s="283">
        <v>0</v>
      </c>
      <c r="M60" s="283">
        <v>0</v>
      </c>
      <c r="N60" s="162">
        <v>0</v>
      </c>
    </row>
    <row r="61" spans="1:14" x14ac:dyDescent="0.3">
      <c r="A61" s="154" t="s">
        <v>32</v>
      </c>
      <c r="B61" s="282">
        <f t="shared" si="2"/>
        <v>422805115.48000002</v>
      </c>
      <c r="C61" s="92">
        <v>112293910.70000002</v>
      </c>
      <c r="D61" s="92">
        <v>51403891.260000005</v>
      </c>
      <c r="E61" s="92">
        <v>99258140.700000003</v>
      </c>
      <c r="F61" s="92">
        <v>112868151.46000001</v>
      </c>
      <c r="G61" s="92">
        <v>30580465.719999999</v>
      </c>
      <c r="H61" s="92">
        <v>7602015.4500000002</v>
      </c>
      <c r="I61" s="92">
        <v>1273901</v>
      </c>
      <c r="J61" s="92">
        <v>0</v>
      </c>
      <c r="K61" s="92">
        <v>2030192</v>
      </c>
      <c r="L61" s="283">
        <v>2107743.19</v>
      </c>
      <c r="M61" s="283">
        <v>0</v>
      </c>
      <c r="N61" s="162">
        <v>3386704</v>
      </c>
    </row>
    <row r="62" spans="1:14" x14ac:dyDescent="0.3">
      <c r="A62" s="154" t="s">
        <v>143</v>
      </c>
      <c r="B62" s="282">
        <f t="shared" si="2"/>
        <v>10452519</v>
      </c>
      <c r="C62" s="92">
        <v>2104314</v>
      </c>
      <c r="D62" s="92">
        <v>1321500</v>
      </c>
      <c r="E62" s="92">
        <v>1465117</v>
      </c>
      <c r="F62" s="92">
        <v>4202942</v>
      </c>
      <c r="G62" s="92">
        <v>1358646</v>
      </c>
      <c r="H62" s="92">
        <v>0</v>
      </c>
      <c r="I62" s="92">
        <v>0</v>
      </c>
      <c r="J62" s="92">
        <v>0</v>
      </c>
      <c r="K62" s="283">
        <v>0</v>
      </c>
      <c r="L62" s="283">
        <v>0</v>
      </c>
      <c r="M62" s="283">
        <v>0</v>
      </c>
      <c r="N62" s="162">
        <v>0</v>
      </c>
    </row>
    <row r="63" spans="1:14" x14ac:dyDescent="0.3">
      <c r="A63" s="154" t="s">
        <v>33</v>
      </c>
      <c r="B63" s="282">
        <f t="shared" si="2"/>
        <v>1437264.62</v>
      </c>
      <c r="C63" s="92">
        <v>1437264.62</v>
      </c>
      <c r="D63" s="92">
        <v>0</v>
      </c>
      <c r="E63" s="92">
        <v>0</v>
      </c>
      <c r="F63" s="92">
        <v>0</v>
      </c>
      <c r="G63" s="92">
        <v>0</v>
      </c>
      <c r="H63" s="92">
        <v>0</v>
      </c>
      <c r="I63" s="92">
        <v>0</v>
      </c>
      <c r="J63" s="92">
        <v>0</v>
      </c>
      <c r="K63" s="283">
        <v>0</v>
      </c>
      <c r="L63" s="283">
        <v>0</v>
      </c>
      <c r="M63" s="283">
        <v>0</v>
      </c>
      <c r="N63" s="162">
        <v>0</v>
      </c>
    </row>
    <row r="64" spans="1:14" x14ac:dyDescent="0.3">
      <c r="A64" s="154" t="s">
        <v>205</v>
      </c>
      <c r="B64" s="282">
        <f t="shared" si="2"/>
        <v>1642001</v>
      </c>
      <c r="C64" s="92">
        <v>0</v>
      </c>
      <c r="D64" s="92">
        <v>0</v>
      </c>
      <c r="E64" s="92">
        <v>0</v>
      </c>
      <c r="F64" s="92">
        <v>0</v>
      </c>
      <c r="G64" s="92">
        <v>1642001</v>
      </c>
      <c r="H64" s="92">
        <v>0</v>
      </c>
      <c r="I64" s="92">
        <v>0</v>
      </c>
      <c r="J64" s="92">
        <v>0</v>
      </c>
      <c r="K64" s="283">
        <v>0</v>
      </c>
      <c r="L64" s="283">
        <v>0</v>
      </c>
      <c r="M64" s="283">
        <v>0</v>
      </c>
      <c r="N64" s="162">
        <v>0</v>
      </c>
    </row>
    <row r="65" spans="1:14" x14ac:dyDescent="0.3">
      <c r="A65" s="154" t="s">
        <v>34</v>
      </c>
      <c r="B65" s="282">
        <f t="shared" si="2"/>
        <v>4944731</v>
      </c>
      <c r="C65" s="92">
        <v>2765213</v>
      </c>
      <c r="D65" s="92">
        <v>0</v>
      </c>
      <c r="E65" s="92">
        <v>0</v>
      </c>
      <c r="F65" s="92">
        <v>2179518</v>
      </c>
      <c r="G65" s="92">
        <v>0</v>
      </c>
      <c r="H65" s="92">
        <v>0</v>
      </c>
      <c r="I65" s="92">
        <v>0</v>
      </c>
      <c r="J65" s="92">
        <v>0</v>
      </c>
      <c r="K65" s="283">
        <v>0</v>
      </c>
      <c r="L65" s="283">
        <v>0</v>
      </c>
      <c r="M65" s="283">
        <v>0</v>
      </c>
      <c r="N65" s="162">
        <v>0</v>
      </c>
    </row>
    <row r="66" spans="1:14" x14ac:dyDescent="0.3">
      <c r="A66" s="154" t="s">
        <v>35</v>
      </c>
      <c r="B66" s="282">
        <f t="shared" si="2"/>
        <v>147134997.45999998</v>
      </c>
      <c r="C66" s="92">
        <v>34931426.469999999</v>
      </c>
      <c r="D66" s="92">
        <v>14932340.360000001</v>
      </c>
      <c r="E66" s="92">
        <v>41971314.859999999</v>
      </c>
      <c r="F66" s="92">
        <v>37749080.769999996</v>
      </c>
      <c r="G66" s="92">
        <v>9025835</v>
      </c>
      <c r="H66" s="92">
        <v>3525000</v>
      </c>
      <c r="I66" s="92">
        <v>0</v>
      </c>
      <c r="J66" s="92">
        <v>0</v>
      </c>
      <c r="K66" s="283">
        <v>0</v>
      </c>
      <c r="L66" s="283">
        <v>0</v>
      </c>
      <c r="M66" s="283">
        <v>0</v>
      </c>
      <c r="N66" s="162">
        <v>5000000</v>
      </c>
    </row>
    <row r="67" spans="1:14" x14ac:dyDescent="0.3">
      <c r="A67" s="154" t="s">
        <v>36</v>
      </c>
      <c r="B67" s="282"/>
      <c r="C67" s="92">
        <v>593965456.11000037</v>
      </c>
      <c r="D67" s="92">
        <v>361874211.55000001</v>
      </c>
      <c r="E67" s="92">
        <v>413244277.04999995</v>
      </c>
      <c r="F67" s="92">
        <v>536726248.76000005</v>
      </c>
      <c r="G67" s="92">
        <v>277167427.88999999</v>
      </c>
      <c r="H67" s="92">
        <v>58767540.339999996</v>
      </c>
      <c r="I67" s="92">
        <v>12672527.59</v>
      </c>
      <c r="J67" s="92">
        <v>0</v>
      </c>
      <c r="K67" s="283">
        <v>3328023.04</v>
      </c>
      <c r="L67" s="283">
        <v>2008665.9</v>
      </c>
      <c r="M67" s="283">
        <v>0</v>
      </c>
      <c r="N67" s="162">
        <v>7177504.8300000001</v>
      </c>
    </row>
    <row r="68" spans="1:14" x14ac:dyDescent="0.3">
      <c r="A68" s="154" t="s">
        <v>37</v>
      </c>
      <c r="B68" s="282">
        <f t="shared" si="2"/>
        <v>126690372.97000001</v>
      </c>
      <c r="C68" s="92">
        <v>37569844.840000004</v>
      </c>
      <c r="D68" s="92">
        <v>27069338.240000002</v>
      </c>
      <c r="E68" s="92">
        <v>31184745.260000002</v>
      </c>
      <c r="F68" s="92">
        <v>22544064.460000001</v>
      </c>
      <c r="G68" s="92">
        <v>8322380.1699999999</v>
      </c>
      <c r="H68" s="92">
        <v>0</v>
      </c>
      <c r="I68" s="92">
        <v>0</v>
      </c>
      <c r="J68" s="92">
        <v>0</v>
      </c>
      <c r="K68" s="283">
        <v>0</v>
      </c>
      <c r="L68" s="283">
        <v>0</v>
      </c>
      <c r="M68" s="283">
        <v>0</v>
      </c>
      <c r="N68" s="162">
        <v>0</v>
      </c>
    </row>
    <row r="69" spans="1:14" x14ac:dyDescent="0.3">
      <c r="A69" s="154" t="s">
        <v>144</v>
      </c>
      <c r="B69" s="282">
        <f t="shared" si="2"/>
        <v>11807880.199999999</v>
      </c>
      <c r="C69" s="92">
        <v>3662542</v>
      </c>
      <c r="D69" s="92">
        <v>860000</v>
      </c>
      <c r="E69" s="92">
        <v>1772736</v>
      </c>
      <c r="F69" s="92">
        <v>3215227.2</v>
      </c>
      <c r="G69" s="92">
        <v>2297375</v>
      </c>
      <c r="H69" s="92">
        <v>0</v>
      </c>
      <c r="I69" s="92">
        <v>0</v>
      </c>
      <c r="J69" s="92">
        <v>0</v>
      </c>
      <c r="K69" s="283">
        <v>0</v>
      </c>
      <c r="L69" s="283">
        <v>0</v>
      </c>
      <c r="M69" s="283">
        <v>0</v>
      </c>
      <c r="N69" s="162">
        <v>0</v>
      </c>
    </row>
    <row r="70" spans="1:14" x14ac:dyDescent="0.3">
      <c r="A70" s="154" t="s">
        <v>38</v>
      </c>
      <c r="B70" s="282">
        <f t="shared" si="2"/>
        <v>13001917.18</v>
      </c>
      <c r="C70" s="92">
        <v>5272201.4399999995</v>
      </c>
      <c r="D70" s="92">
        <v>2103487.6</v>
      </c>
      <c r="E70" s="92">
        <v>1305614</v>
      </c>
      <c r="F70" s="92">
        <v>2380000</v>
      </c>
      <c r="G70" s="92">
        <v>1940614.14</v>
      </c>
      <c r="H70" s="92">
        <v>0</v>
      </c>
      <c r="I70" s="92">
        <v>0</v>
      </c>
      <c r="J70" s="92">
        <v>0</v>
      </c>
      <c r="K70" s="283">
        <v>0</v>
      </c>
      <c r="L70" s="283">
        <v>0</v>
      </c>
      <c r="M70" s="283">
        <v>0</v>
      </c>
      <c r="N70" s="162">
        <v>0</v>
      </c>
    </row>
    <row r="71" spans="1:14" x14ac:dyDescent="0.3">
      <c r="A71" s="154" t="s">
        <v>39</v>
      </c>
      <c r="B71" s="282">
        <f t="shared" si="2"/>
        <v>3669258.3899999997</v>
      </c>
      <c r="C71" s="92">
        <v>2366384.3899999997</v>
      </c>
      <c r="D71" s="92">
        <v>1302874</v>
      </c>
      <c r="E71" s="92">
        <v>0</v>
      </c>
      <c r="F71" s="92">
        <v>0</v>
      </c>
      <c r="G71" s="92">
        <v>0</v>
      </c>
      <c r="H71" s="92">
        <v>0</v>
      </c>
      <c r="I71" s="92">
        <v>0</v>
      </c>
      <c r="J71" s="92">
        <v>0</v>
      </c>
      <c r="K71" s="283">
        <v>0</v>
      </c>
      <c r="L71" s="283">
        <v>0</v>
      </c>
      <c r="M71" s="283">
        <v>0</v>
      </c>
      <c r="N71" s="162">
        <v>0</v>
      </c>
    </row>
    <row r="72" spans="1:14" x14ac:dyDescent="0.3">
      <c r="A72" s="154" t="s">
        <v>40</v>
      </c>
      <c r="B72" s="282">
        <f t="shared" si="2"/>
        <v>1300140009.8100002</v>
      </c>
      <c r="C72" s="92">
        <v>355866084.65999997</v>
      </c>
      <c r="D72" s="92">
        <v>217327221.49999997</v>
      </c>
      <c r="E72" s="92">
        <v>262202297.64999998</v>
      </c>
      <c r="F72" s="92">
        <v>279554344.78000009</v>
      </c>
      <c r="G72" s="92">
        <v>132125501</v>
      </c>
      <c r="H72" s="92">
        <v>42904170.439999998</v>
      </c>
      <c r="I72" s="92">
        <v>7837603.7800000003</v>
      </c>
      <c r="J72" s="92">
        <v>0</v>
      </c>
      <c r="K72" s="92">
        <v>0</v>
      </c>
      <c r="L72" s="283">
        <v>0</v>
      </c>
      <c r="M72" s="283">
        <v>0</v>
      </c>
      <c r="N72" s="162">
        <v>2322786</v>
      </c>
    </row>
    <row r="73" spans="1:14" x14ac:dyDescent="0.3">
      <c r="A73" s="154" t="s">
        <v>41</v>
      </c>
      <c r="B73" s="282">
        <f t="shared" si="2"/>
        <v>24504271.730000004</v>
      </c>
      <c r="C73" s="92">
        <v>5182756</v>
      </c>
      <c r="D73" s="92">
        <v>1738363.81</v>
      </c>
      <c r="E73" s="92">
        <v>3279507.45</v>
      </c>
      <c r="F73" s="92">
        <v>14303644.470000001</v>
      </c>
      <c r="G73" s="92">
        <v>0</v>
      </c>
      <c r="H73" s="92">
        <v>0</v>
      </c>
      <c r="I73" s="92">
        <v>0</v>
      </c>
      <c r="J73" s="92">
        <v>0</v>
      </c>
      <c r="K73" s="283">
        <v>0</v>
      </c>
      <c r="L73" s="283">
        <v>0</v>
      </c>
      <c r="M73" s="283">
        <v>0</v>
      </c>
      <c r="N73" s="162">
        <v>0</v>
      </c>
    </row>
    <row r="74" spans="1:14" x14ac:dyDescent="0.3">
      <c r="A74" s="154" t="s">
        <v>145</v>
      </c>
      <c r="B74" s="282">
        <f t="shared" si="2"/>
        <v>10194853.74</v>
      </c>
      <c r="C74" s="92">
        <v>3245886.74</v>
      </c>
      <c r="D74" s="92">
        <v>0</v>
      </c>
      <c r="E74" s="92">
        <v>3273773</v>
      </c>
      <c r="F74" s="92">
        <v>3675194</v>
      </c>
      <c r="G74" s="92">
        <v>0</v>
      </c>
      <c r="H74" s="92">
        <v>0</v>
      </c>
      <c r="I74" s="92">
        <v>0</v>
      </c>
      <c r="J74" s="92">
        <v>0</v>
      </c>
      <c r="K74" s="283">
        <v>0</v>
      </c>
      <c r="L74" s="283">
        <v>0</v>
      </c>
      <c r="M74" s="283">
        <v>0</v>
      </c>
      <c r="N74" s="162">
        <v>0</v>
      </c>
    </row>
    <row r="75" spans="1:14" ht="14" thickBot="1" x14ac:dyDescent="0.35">
      <c r="A75" s="154" t="s">
        <v>165</v>
      </c>
      <c r="B75" s="289">
        <f t="shared" si="2"/>
        <v>6074756</v>
      </c>
      <c r="C75" s="96">
        <v>6074756</v>
      </c>
      <c r="D75" s="168">
        <v>0</v>
      </c>
      <c r="E75" s="168">
        <v>0</v>
      </c>
      <c r="F75" s="168">
        <v>0</v>
      </c>
      <c r="G75" s="168">
        <v>0</v>
      </c>
      <c r="H75" s="168">
        <v>0</v>
      </c>
      <c r="I75" s="168">
        <v>0</v>
      </c>
      <c r="J75" s="168">
        <v>0</v>
      </c>
      <c r="K75" s="168">
        <v>0</v>
      </c>
      <c r="L75" s="292">
        <v>0</v>
      </c>
      <c r="M75" s="292">
        <v>0</v>
      </c>
      <c r="N75" s="168">
        <v>0</v>
      </c>
    </row>
    <row r="76" spans="1:14" ht="14" thickTop="1" x14ac:dyDescent="0.3">
      <c r="A76" s="45" t="s">
        <v>1</v>
      </c>
      <c r="B76" s="20">
        <f>SUM(C76:N76)</f>
        <v>4713737174.9300003</v>
      </c>
      <c r="C76" s="20">
        <f t="shared" ref="C76:M76" si="3">SUM(C56:C75)</f>
        <v>1245532496.0200005</v>
      </c>
      <c r="D76" s="20">
        <f t="shared" si="3"/>
        <v>741334903.8499999</v>
      </c>
      <c r="E76" s="20">
        <f t="shared" si="3"/>
        <v>937837389.02999997</v>
      </c>
      <c r="F76" s="20">
        <f t="shared" si="3"/>
        <v>1123631253.6100004</v>
      </c>
      <c r="G76" s="20">
        <f t="shared" si="3"/>
        <v>499324107.35999995</v>
      </c>
      <c r="H76" s="20">
        <f t="shared" si="3"/>
        <v>116931373.72999999</v>
      </c>
      <c r="I76" s="24">
        <f t="shared" si="3"/>
        <v>21784032.370000001</v>
      </c>
      <c r="J76" s="24">
        <f t="shared" si="3"/>
        <v>0</v>
      </c>
      <c r="K76" s="24">
        <f t="shared" si="3"/>
        <v>5358215.04</v>
      </c>
      <c r="L76" s="24">
        <f t="shared" si="3"/>
        <v>4116409.09</v>
      </c>
      <c r="M76" s="24">
        <f t="shared" si="3"/>
        <v>0</v>
      </c>
      <c r="N76" s="24">
        <f>SUM(N56:N75)</f>
        <v>17886994.829999998</v>
      </c>
    </row>
    <row r="77" spans="1:14" x14ac:dyDescent="0.3">
      <c r="A77" s="37"/>
      <c r="B77" s="38"/>
      <c r="C77" s="38"/>
      <c r="D77" s="38"/>
      <c r="E77" s="38"/>
      <c r="F77" s="38"/>
      <c r="G77" s="38"/>
      <c r="H77" s="38"/>
      <c r="I77" s="39"/>
      <c r="J77" s="39"/>
      <c r="K77" s="39"/>
      <c r="L77" s="39"/>
      <c r="M77" s="39"/>
      <c r="N77" s="39"/>
    </row>
    <row r="78" spans="1:14" x14ac:dyDescent="0.3">
      <c r="A78" s="37"/>
      <c r="B78" s="38"/>
      <c r="C78" s="38"/>
      <c r="D78" s="38"/>
      <c r="E78" s="38"/>
      <c r="F78" s="38"/>
      <c r="G78" s="38"/>
      <c r="H78" s="38"/>
      <c r="I78" s="39"/>
      <c r="J78" s="39"/>
      <c r="K78" s="39"/>
      <c r="L78" s="39"/>
      <c r="M78" s="39"/>
      <c r="N78" s="39"/>
    </row>
    <row r="80" spans="1:14" x14ac:dyDescent="0.3">
      <c r="A80" s="164" t="s">
        <v>226</v>
      </c>
      <c r="B80" s="164"/>
      <c r="C80" s="164"/>
      <c r="D80" s="164"/>
      <c r="E80" s="164"/>
      <c r="F80" s="164"/>
      <c r="G80" s="164"/>
      <c r="H80" s="164"/>
      <c r="I80" s="164"/>
      <c r="J80" s="164"/>
      <c r="K80" s="164"/>
      <c r="L80" s="164"/>
      <c r="M80" s="164"/>
      <c r="N80" s="16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row>
    <row r="82" spans="1:16" x14ac:dyDescent="0.3">
      <c r="A82" s="12"/>
      <c r="B82" s="11"/>
      <c r="C82" s="13"/>
      <c r="D82" s="13"/>
      <c r="E82" s="17"/>
      <c r="F82" s="13"/>
      <c r="G82" s="13"/>
      <c r="H82" s="13"/>
      <c r="I82" s="13"/>
      <c r="J82" s="13"/>
      <c r="K82" s="13"/>
      <c r="L82" s="13"/>
      <c r="M82" s="13"/>
      <c r="N82" s="13"/>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row>
    <row r="84" spans="1:16" x14ac:dyDescent="0.3">
      <c r="A84" s="41" t="s">
        <v>182</v>
      </c>
      <c r="B84" s="71">
        <f>SUM(C84:N84)</f>
        <v>4709503215.9300003</v>
      </c>
      <c r="C84" s="137">
        <v>1244109606.0200005</v>
      </c>
      <c r="D84" s="137">
        <v>738523834.8499999</v>
      </c>
      <c r="E84" s="137">
        <v>937837389.02999997</v>
      </c>
      <c r="F84" s="137">
        <v>1123631253.6100004</v>
      </c>
      <c r="G84" s="137">
        <v>499324107.35999995</v>
      </c>
      <c r="H84" s="137">
        <v>116931373.72999999</v>
      </c>
      <c r="I84" s="50">
        <v>21784032.370000001</v>
      </c>
      <c r="J84" s="50">
        <v>0</v>
      </c>
      <c r="K84" s="50">
        <v>5358215.04</v>
      </c>
      <c r="L84" s="50">
        <v>4116409.09</v>
      </c>
      <c r="M84" s="50">
        <v>0</v>
      </c>
      <c r="N84" s="50">
        <v>17886994.829999998</v>
      </c>
    </row>
    <row r="85" spans="1:16" x14ac:dyDescent="0.3">
      <c r="A85" s="49" t="s">
        <v>183</v>
      </c>
      <c r="B85" s="75">
        <f t="shared" ref="B85:B87" si="4">SUM(C85:N85)</f>
        <v>4233959</v>
      </c>
      <c r="C85" s="33">
        <v>1422890</v>
      </c>
      <c r="D85" s="33">
        <v>2811069</v>
      </c>
      <c r="E85" s="33"/>
      <c r="F85" s="33"/>
      <c r="G85" s="33"/>
      <c r="H85" s="33"/>
      <c r="I85" s="27"/>
      <c r="J85" s="27"/>
      <c r="K85" s="27"/>
      <c r="L85" s="27"/>
      <c r="M85" s="27"/>
      <c r="N85" s="27"/>
      <c r="O85" s="70"/>
    </row>
    <row r="86" spans="1:16" x14ac:dyDescent="0.3">
      <c r="A86" s="42" t="s">
        <v>184</v>
      </c>
      <c r="B86" s="75">
        <f t="shared" si="4"/>
        <v>0</v>
      </c>
      <c r="C86" s="31"/>
      <c r="D86" s="31"/>
      <c r="E86" s="32"/>
      <c r="F86" s="33"/>
      <c r="G86" s="33"/>
      <c r="H86" s="33"/>
      <c r="I86" s="27"/>
      <c r="J86" s="27"/>
      <c r="K86" s="27"/>
      <c r="L86" s="27"/>
      <c r="M86" s="27"/>
      <c r="N86" s="28"/>
    </row>
    <row r="87" spans="1:16" ht="14" thickBot="1" x14ac:dyDescent="0.35">
      <c r="A87" s="42" t="s">
        <v>185</v>
      </c>
      <c r="B87" s="75">
        <f t="shared" si="4"/>
        <v>0</v>
      </c>
      <c r="C87" s="31"/>
      <c r="D87" s="31"/>
      <c r="E87" s="32"/>
      <c r="F87" s="33"/>
      <c r="G87" s="33"/>
      <c r="H87" s="33"/>
      <c r="I87" s="27"/>
      <c r="J87" s="27"/>
      <c r="K87" s="27"/>
      <c r="L87" s="27"/>
      <c r="M87" s="27"/>
      <c r="N87" s="28"/>
    </row>
    <row r="88" spans="1:16" ht="14" thickTop="1" x14ac:dyDescent="0.3">
      <c r="A88" s="44" t="s">
        <v>1</v>
      </c>
      <c r="B88" s="22">
        <f t="shared" ref="B88:N88" si="5">SUM(B84:B87)</f>
        <v>4713737174.9300003</v>
      </c>
      <c r="C88" s="22">
        <f t="shared" si="5"/>
        <v>1245532496.0200005</v>
      </c>
      <c r="D88" s="22">
        <f t="shared" si="5"/>
        <v>741334903.8499999</v>
      </c>
      <c r="E88" s="22">
        <f t="shared" si="5"/>
        <v>937837389.02999997</v>
      </c>
      <c r="F88" s="22">
        <f t="shared" si="5"/>
        <v>1123631253.6100004</v>
      </c>
      <c r="G88" s="22">
        <f t="shared" si="5"/>
        <v>499324107.35999995</v>
      </c>
      <c r="H88" s="22">
        <f t="shared" si="5"/>
        <v>116931373.72999999</v>
      </c>
      <c r="I88" s="22">
        <f t="shared" si="5"/>
        <v>21784032.370000001</v>
      </c>
      <c r="J88" s="22">
        <f t="shared" si="5"/>
        <v>0</v>
      </c>
      <c r="K88" s="22">
        <f t="shared" si="5"/>
        <v>5358215.04</v>
      </c>
      <c r="L88" s="22">
        <f t="shared" si="5"/>
        <v>4116409.09</v>
      </c>
      <c r="M88" s="22">
        <f t="shared" si="5"/>
        <v>0</v>
      </c>
      <c r="N88" s="23">
        <f t="shared" si="5"/>
        <v>17886994.829999998</v>
      </c>
    </row>
    <row r="89" spans="1:16" x14ac:dyDescent="0.3">
      <c r="A89" s="26"/>
      <c r="B89" s="40"/>
      <c r="C89" s="40"/>
      <c r="D89" s="40"/>
      <c r="E89" s="40"/>
      <c r="F89" s="40"/>
      <c r="G89" s="40"/>
      <c r="H89" s="40"/>
      <c r="I89" s="40"/>
      <c r="J89" s="40"/>
      <c r="K89" s="40"/>
      <c r="L89" s="40"/>
      <c r="M89" s="40"/>
      <c r="N89" s="40"/>
    </row>
    <row r="91" spans="1:16" x14ac:dyDescent="0.3">
      <c r="A91" s="164" t="s">
        <v>227</v>
      </c>
      <c r="B91" s="164"/>
      <c r="C91" s="164"/>
      <c r="D91" s="164"/>
      <c r="E91" s="164"/>
      <c r="F91" s="164"/>
      <c r="G91" s="164"/>
      <c r="H91" s="164"/>
      <c r="I91" s="164"/>
      <c r="J91" s="164"/>
      <c r="K91" s="164"/>
      <c r="L91" s="164"/>
      <c r="M91" s="164"/>
      <c r="N91" s="16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row>
    <row r="93" spans="1:16" x14ac:dyDescent="0.3">
      <c r="A93" s="46"/>
      <c r="B93" s="11"/>
      <c r="C93" s="13"/>
      <c r="D93" s="13"/>
      <c r="E93" s="17"/>
      <c r="F93" s="13"/>
      <c r="G93" s="13"/>
      <c r="H93" s="13"/>
      <c r="I93" s="13"/>
      <c r="J93" s="13"/>
      <c r="K93" s="13"/>
      <c r="L93" s="13"/>
      <c r="M93" s="13"/>
      <c r="N93" s="13"/>
      <c r="O93" s="69"/>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row>
    <row r="95" spans="1:16" x14ac:dyDescent="0.3">
      <c r="A95" s="42" t="s">
        <v>62</v>
      </c>
      <c r="B95" s="71">
        <f>SUM(C95:N95)</f>
        <v>676220924.68999994</v>
      </c>
      <c r="C95" s="72">
        <v>98384625.359999985</v>
      </c>
      <c r="D95" s="73">
        <v>92606980.540000007</v>
      </c>
      <c r="E95" s="73">
        <v>126101185.10999997</v>
      </c>
      <c r="F95" s="73">
        <v>219786249.91999999</v>
      </c>
      <c r="G95" s="73">
        <v>132899152.76000001</v>
      </c>
      <c r="H95" s="78">
        <v>6442731</v>
      </c>
      <c r="I95" s="74">
        <v>0</v>
      </c>
      <c r="J95" s="75">
        <v>0</v>
      </c>
      <c r="K95" s="71">
        <v>0</v>
      </c>
      <c r="L95" s="76">
        <v>0</v>
      </c>
      <c r="M95" s="76">
        <v>0</v>
      </c>
      <c r="N95" s="71">
        <v>0</v>
      </c>
    </row>
    <row r="96" spans="1:16" x14ac:dyDescent="0.3">
      <c r="A96" s="42" t="s">
        <v>63</v>
      </c>
      <c r="B96" s="75">
        <f t="shared" ref="B96:B99" si="6">SUM(C96:N96)</f>
        <v>1090180501.1500001</v>
      </c>
      <c r="C96" s="77">
        <v>246883078.08000001</v>
      </c>
      <c r="D96" s="78">
        <v>147029154.20000002</v>
      </c>
      <c r="E96" s="78">
        <v>224498619.12</v>
      </c>
      <c r="F96" s="78">
        <v>257805182.48999995</v>
      </c>
      <c r="G96" s="78">
        <v>171367255</v>
      </c>
      <c r="H96" s="78">
        <v>35274426.259999998</v>
      </c>
      <c r="I96" s="74">
        <v>0</v>
      </c>
      <c r="J96" s="75">
        <v>0</v>
      </c>
      <c r="K96" s="75">
        <v>0</v>
      </c>
      <c r="L96" s="74">
        <v>0</v>
      </c>
      <c r="M96" s="74">
        <v>0</v>
      </c>
      <c r="N96" s="75">
        <v>7322786</v>
      </c>
    </row>
    <row r="97" spans="1:15" x14ac:dyDescent="0.3">
      <c r="A97" s="42" t="s">
        <v>64</v>
      </c>
      <c r="B97" s="75">
        <f t="shared" si="6"/>
        <v>943932206.65999997</v>
      </c>
      <c r="C97" s="77">
        <v>224052258.18000004</v>
      </c>
      <c r="D97" s="78">
        <v>138184712.19999999</v>
      </c>
      <c r="E97" s="78">
        <v>167044468.78999999</v>
      </c>
      <c r="F97" s="78">
        <v>261383300.36000004</v>
      </c>
      <c r="G97" s="78">
        <v>102869189.61999999</v>
      </c>
      <c r="H97" s="78">
        <v>45148100.509999998</v>
      </c>
      <c r="I97" s="74">
        <v>5250177</v>
      </c>
      <c r="J97" s="75">
        <v>0</v>
      </c>
      <c r="K97" s="75">
        <v>0</v>
      </c>
      <c r="L97" s="74">
        <v>0</v>
      </c>
      <c r="M97" s="74">
        <v>0</v>
      </c>
      <c r="N97" s="75">
        <v>0</v>
      </c>
    </row>
    <row r="98" spans="1:15" x14ac:dyDescent="0.3">
      <c r="A98" s="42" t="s">
        <v>65</v>
      </c>
      <c r="B98" s="75">
        <f t="shared" si="6"/>
        <v>1184322978.0499997</v>
      </c>
      <c r="C98" s="77">
        <v>333992055.27000004</v>
      </c>
      <c r="D98" s="78">
        <v>203728769.12999994</v>
      </c>
      <c r="E98" s="78">
        <v>262182804.66000003</v>
      </c>
      <c r="F98" s="78">
        <v>271002775.05000001</v>
      </c>
      <c r="G98" s="78">
        <v>62286487.57</v>
      </c>
      <c r="H98" s="78">
        <v>23140843.220000003</v>
      </c>
      <c r="I98" s="74">
        <v>14595329.23</v>
      </c>
      <c r="J98" s="75">
        <v>0</v>
      </c>
      <c r="K98" s="75">
        <v>0</v>
      </c>
      <c r="L98" s="74">
        <v>4116409.09</v>
      </c>
      <c r="M98" s="74">
        <v>0</v>
      </c>
      <c r="N98" s="75">
        <v>9277504.8300000001</v>
      </c>
    </row>
    <row r="99" spans="1:15" ht="14" thickBot="1" x14ac:dyDescent="0.35">
      <c r="A99" s="43" t="s">
        <v>66</v>
      </c>
      <c r="B99" s="79">
        <f t="shared" si="6"/>
        <v>819080564.37999988</v>
      </c>
      <c r="C99" s="80">
        <v>342220479.13</v>
      </c>
      <c r="D99" s="80">
        <v>159785287.78000003</v>
      </c>
      <c r="E99" s="80">
        <v>158010311.34999996</v>
      </c>
      <c r="F99" s="80">
        <v>113653745.78999998</v>
      </c>
      <c r="G99" s="80">
        <v>29902022.41</v>
      </c>
      <c r="H99" s="80">
        <v>6925272.7400000002</v>
      </c>
      <c r="I99" s="81">
        <v>1938526.14</v>
      </c>
      <c r="J99" s="79">
        <v>0</v>
      </c>
      <c r="K99" s="79">
        <v>5358215.04</v>
      </c>
      <c r="L99" s="81">
        <v>0</v>
      </c>
      <c r="M99" s="81">
        <v>0</v>
      </c>
      <c r="N99" s="79">
        <v>1286704</v>
      </c>
    </row>
    <row r="100" spans="1:15" ht="14" thickTop="1" x14ac:dyDescent="0.3">
      <c r="A100" s="42" t="s">
        <v>1</v>
      </c>
      <c r="B100" s="82">
        <f>SUM(B95:B99)</f>
        <v>4713737174.9299994</v>
      </c>
      <c r="C100" s="82">
        <f>SUM(C95:C99)</f>
        <v>1245532496.02</v>
      </c>
      <c r="D100" s="82">
        <f t="shared" ref="D100:N100" si="7">SUM(D95:D99)</f>
        <v>741334903.8499999</v>
      </c>
      <c r="E100" s="82">
        <f t="shared" si="7"/>
        <v>937837389.02999997</v>
      </c>
      <c r="F100" s="82">
        <f t="shared" si="7"/>
        <v>1123631253.6099999</v>
      </c>
      <c r="G100" s="82">
        <f t="shared" si="7"/>
        <v>499324107.36000001</v>
      </c>
      <c r="H100" s="82">
        <f t="shared" si="7"/>
        <v>116931373.72999999</v>
      </c>
      <c r="I100" s="82">
        <f t="shared" si="7"/>
        <v>21784032.370000001</v>
      </c>
      <c r="J100" s="82">
        <f t="shared" si="7"/>
        <v>0</v>
      </c>
      <c r="K100" s="82">
        <f t="shared" si="7"/>
        <v>5358215.04</v>
      </c>
      <c r="L100" s="82">
        <f t="shared" si="7"/>
        <v>4116409.09</v>
      </c>
      <c r="M100" s="82">
        <f t="shared" si="7"/>
        <v>0</v>
      </c>
      <c r="N100" s="82">
        <f t="shared" si="7"/>
        <v>17886994.829999998</v>
      </c>
      <c r="O100" s="70"/>
    </row>
    <row r="101" spans="1:15" x14ac:dyDescent="0.3">
      <c r="A101" s="26"/>
      <c r="B101" s="83"/>
      <c r="C101" s="83"/>
      <c r="D101" s="83"/>
      <c r="E101" s="83"/>
      <c r="F101" s="83"/>
      <c r="G101" s="83"/>
      <c r="H101" s="83"/>
      <c r="I101" s="83"/>
      <c r="J101" s="83"/>
      <c r="K101" s="83"/>
      <c r="L101" s="83"/>
      <c r="M101" s="83"/>
      <c r="N101" s="83"/>
      <c r="O101" s="67"/>
    </row>
    <row r="102" spans="1:15" x14ac:dyDescent="0.3">
      <c r="A102" s="67"/>
    </row>
    <row r="103" spans="1:15" x14ac:dyDescent="0.3">
      <c r="A103" s="164" t="s">
        <v>228</v>
      </c>
      <c r="B103" s="164"/>
      <c r="C103" s="164"/>
      <c r="D103" s="164"/>
      <c r="E103" s="164"/>
      <c r="F103" s="164"/>
      <c r="G103" s="164"/>
      <c r="H103" s="164"/>
      <c r="I103" s="164"/>
      <c r="J103" s="164"/>
      <c r="K103" s="164"/>
      <c r="L103" s="164"/>
      <c r="M103" s="164"/>
      <c r="N103" s="164"/>
    </row>
    <row r="104" spans="1:15" x14ac:dyDescent="0.3">
      <c r="A104" s="108"/>
      <c r="B104" s="109"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row>
    <row r="105" spans="1:15" x14ac:dyDescent="0.3">
      <c r="A105" s="46"/>
      <c r="B105" s="11"/>
      <c r="C105" s="13"/>
      <c r="D105" s="13"/>
      <c r="E105" s="17"/>
      <c r="F105" s="13"/>
      <c r="G105" s="13"/>
      <c r="H105" s="13"/>
      <c r="I105" s="13"/>
      <c r="J105" s="13"/>
      <c r="K105" s="13"/>
      <c r="L105" s="13"/>
      <c r="M105" s="13"/>
      <c r="N105" s="13"/>
    </row>
    <row r="106" spans="1:15" ht="27" x14ac:dyDescent="0.3">
      <c r="A106" s="47"/>
      <c r="B106" s="25" t="s">
        <v>4</v>
      </c>
      <c r="C106" s="15" t="s">
        <v>4</v>
      </c>
      <c r="D106" s="15" t="s">
        <v>4</v>
      </c>
      <c r="E106" s="14" t="s">
        <v>4</v>
      </c>
      <c r="F106" s="15" t="s">
        <v>4</v>
      </c>
      <c r="G106" s="15" t="s">
        <v>4</v>
      </c>
      <c r="H106" s="15" t="s">
        <v>4</v>
      </c>
      <c r="I106" s="15" t="s">
        <v>4</v>
      </c>
      <c r="J106" s="15" t="s">
        <v>4</v>
      </c>
      <c r="K106" s="15" t="s">
        <v>4</v>
      </c>
      <c r="L106" s="15" t="s">
        <v>4</v>
      </c>
      <c r="M106" s="15" t="s">
        <v>4</v>
      </c>
      <c r="N106" s="15" t="s">
        <v>4</v>
      </c>
    </row>
    <row r="107" spans="1:15" x14ac:dyDescent="0.3">
      <c r="A107" s="42" t="s">
        <v>201</v>
      </c>
      <c r="B107" s="140">
        <f t="shared" ref="B107:B110" si="8">SUM(C107:N107)</f>
        <v>4695395575.9300003</v>
      </c>
      <c r="C107" s="138">
        <v>1237243150.0200005</v>
      </c>
      <c r="D107" s="85">
        <v>740234903.85000014</v>
      </c>
      <c r="E107" s="85">
        <v>932509514.03000009</v>
      </c>
      <c r="F107" s="85">
        <v>1120006875.6100001</v>
      </c>
      <c r="G107" s="85">
        <v>499324107.36000001</v>
      </c>
      <c r="H107" s="85">
        <v>116931373.73000002</v>
      </c>
      <c r="I107" s="86">
        <v>21784032.369999997</v>
      </c>
      <c r="J107" s="86">
        <v>0</v>
      </c>
      <c r="K107" s="86">
        <v>5358215.04</v>
      </c>
      <c r="L107" s="86">
        <v>4116409.09</v>
      </c>
      <c r="M107" s="86">
        <v>0</v>
      </c>
      <c r="N107" s="87">
        <v>17886994.829999998</v>
      </c>
    </row>
    <row r="108" spans="1:15" x14ac:dyDescent="0.3">
      <c r="A108" s="42" t="s">
        <v>202</v>
      </c>
      <c r="B108" s="88">
        <f t="shared" si="8"/>
        <v>14221599</v>
      </c>
      <c r="C108" s="89">
        <v>6169346</v>
      </c>
      <c r="D108" s="90">
        <v>1100000</v>
      </c>
      <c r="E108" s="90">
        <v>5327875</v>
      </c>
      <c r="F108" s="90">
        <v>1624378</v>
      </c>
      <c r="G108" s="90">
        <v>0</v>
      </c>
      <c r="H108" s="90">
        <v>0</v>
      </c>
      <c r="I108" s="91">
        <v>0</v>
      </c>
      <c r="J108" s="91">
        <v>0</v>
      </c>
      <c r="K108" s="91">
        <v>0</v>
      </c>
      <c r="L108" s="91">
        <v>0</v>
      </c>
      <c r="M108" s="91">
        <v>0</v>
      </c>
      <c r="N108" s="92">
        <v>0</v>
      </c>
    </row>
    <row r="109" spans="1:15" x14ac:dyDescent="0.3">
      <c r="A109" s="42" t="s">
        <v>58</v>
      </c>
      <c r="B109" s="88">
        <f t="shared" si="8"/>
        <v>4120000</v>
      </c>
      <c r="C109" s="89">
        <v>2120000</v>
      </c>
      <c r="D109" s="90">
        <v>0</v>
      </c>
      <c r="E109" s="90">
        <v>0</v>
      </c>
      <c r="F109" s="90">
        <v>2000000</v>
      </c>
      <c r="G109" s="90"/>
      <c r="H109" s="90"/>
      <c r="I109" s="91"/>
      <c r="J109" s="91"/>
      <c r="K109" s="91"/>
      <c r="L109" s="91"/>
      <c r="M109" s="91"/>
      <c r="N109" s="92"/>
    </row>
    <row r="110" spans="1:15" ht="14" thickBot="1" x14ac:dyDescent="0.35">
      <c r="A110" s="43" t="s">
        <v>203</v>
      </c>
      <c r="B110" s="148">
        <f t="shared" si="8"/>
        <v>0</v>
      </c>
      <c r="C110" s="89"/>
      <c r="D110" s="90"/>
      <c r="E110" s="90"/>
      <c r="F110" s="90"/>
      <c r="G110" s="90">
        <v>0</v>
      </c>
      <c r="H110" s="90">
        <v>0</v>
      </c>
      <c r="I110" s="91">
        <v>0</v>
      </c>
      <c r="J110" s="91"/>
      <c r="K110" s="91">
        <v>0</v>
      </c>
      <c r="L110" s="91"/>
      <c r="M110" s="91">
        <v>0</v>
      </c>
      <c r="N110" s="96">
        <v>0</v>
      </c>
    </row>
    <row r="111" spans="1:15" ht="14" thickTop="1" x14ac:dyDescent="0.3">
      <c r="A111" s="42" t="s">
        <v>1</v>
      </c>
      <c r="B111" s="139">
        <f t="shared" ref="B111:N111" si="9">SUM(B107:B110)</f>
        <v>4713737174.9300003</v>
      </c>
      <c r="C111" s="97">
        <f t="shared" si="9"/>
        <v>1245532496.0200005</v>
      </c>
      <c r="D111" s="97">
        <f t="shared" si="9"/>
        <v>741334903.85000014</v>
      </c>
      <c r="E111" s="97">
        <f t="shared" si="9"/>
        <v>937837389.03000009</v>
      </c>
      <c r="F111" s="97">
        <f t="shared" si="9"/>
        <v>1123631253.6100001</v>
      </c>
      <c r="G111" s="97">
        <f t="shared" si="9"/>
        <v>499324107.36000001</v>
      </c>
      <c r="H111" s="97">
        <f t="shared" si="9"/>
        <v>116931373.73000002</v>
      </c>
      <c r="I111" s="97">
        <f t="shared" si="9"/>
        <v>21784032.369999997</v>
      </c>
      <c r="J111" s="97">
        <f t="shared" si="9"/>
        <v>0</v>
      </c>
      <c r="K111" s="97">
        <f t="shared" si="9"/>
        <v>5358215.04</v>
      </c>
      <c r="L111" s="97">
        <f t="shared" si="9"/>
        <v>4116409.09</v>
      </c>
      <c r="M111" s="97">
        <f t="shared" si="9"/>
        <v>0</v>
      </c>
      <c r="N111" s="98">
        <f t="shared" si="9"/>
        <v>17886994.829999998</v>
      </c>
    </row>
    <row r="112" spans="1:15" x14ac:dyDescent="0.3">
      <c r="A112" s="26"/>
      <c r="B112" s="99"/>
      <c r="C112" s="99"/>
      <c r="D112" s="99"/>
      <c r="E112" s="99"/>
      <c r="F112" s="99"/>
      <c r="G112" s="99"/>
      <c r="H112" s="99"/>
      <c r="I112" s="99"/>
      <c r="J112" s="99"/>
      <c r="K112" s="99"/>
      <c r="L112" s="99"/>
      <c r="M112" s="99"/>
      <c r="N112" s="99"/>
    </row>
    <row r="114" spans="1:15" x14ac:dyDescent="0.3">
      <c r="A114" s="164" t="s">
        <v>229</v>
      </c>
      <c r="B114" s="164"/>
      <c r="C114" s="164"/>
      <c r="D114" s="164"/>
      <c r="E114" s="164"/>
      <c r="F114" s="164"/>
      <c r="G114" s="164"/>
      <c r="H114" s="164"/>
      <c r="I114" s="164"/>
      <c r="J114" s="164"/>
      <c r="K114" s="164"/>
      <c r="L114" s="164"/>
      <c r="M114" s="164"/>
      <c r="N114" s="16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row>
    <row r="116" spans="1:15" x14ac:dyDescent="0.3">
      <c r="A116" s="48"/>
      <c r="B116" s="11"/>
      <c r="C116" s="13"/>
      <c r="D116" s="13"/>
      <c r="E116" s="17"/>
      <c r="F116" s="13"/>
      <c r="G116" s="13"/>
      <c r="H116" s="13"/>
      <c r="I116" s="13"/>
      <c r="J116" s="13"/>
      <c r="K116" s="13"/>
      <c r="L116" s="13"/>
      <c r="M116" s="13"/>
      <c r="N116" s="13"/>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row>
    <row r="118" spans="1:15" x14ac:dyDescent="0.3">
      <c r="A118" s="42" t="s">
        <v>57</v>
      </c>
      <c r="B118" s="137">
        <v>4713737174.9300003</v>
      </c>
      <c r="C118" s="137">
        <v>1245532496.0200005</v>
      </c>
      <c r="D118" s="137">
        <v>741334903.85000014</v>
      </c>
      <c r="E118" s="137">
        <v>937837389.03000009</v>
      </c>
      <c r="F118" s="137">
        <v>1123631253.6100001</v>
      </c>
      <c r="G118" s="137">
        <v>499324107.36000001</v>
      </c>
      <c r="H118" s="137">
        <v>116931373.73000002</v>
      </c>
      <c r="I118" s="50">
        <v>21784032.369999997</v>
      </c>
      <c r="J118" s="50">
        <v>0</v>
      </c>
      <c r="K118" s="50">
        <v>5358215.04</v>
      </c>
      <c r="L118" s="50">
        <v>4116409.09</v>
      </c>
      <c r="M118" s="50">
        <v>0</v>
      </c>
      <c r="N118" s="50">
        <v>17886994.829999998</v>
      </c>
      <c r="O118" s="70"/>
    </row>
    <row r="119" spans="1:15" x14ac:dyDescent="0.3">
      <c r="A119" s="42" t="s">
        <v>67</v>
      </c>
      <c r="B119" s="100"/>
      <c r="C119" s="90"/>
      <c r="D119" s="90"/>
      <c r="E119" s="90"/>
      <c r="F119" s="90"/>
      <c r="G119" s="90"/>
      <c r="H119" s="90"/>
      <c r="I119" s="91"/>
      <c r="J119" s="91"/>
      <c r="K119" s="91"/>
      <c r="L119" s="91"/>
      <c r="M119" s="91"/>
      <c r="N119" s="91"/>
      <c r="O119" s="70"/>
    </row>
    <row r="120" spans="1:15" x14ac:dyDescent="0.3">
      <c r="A120" s="42" t="s">
        <v>68</v>
      </c>
      <c r="B120" s="100"/>
      <c r="C120" s="90"/>
      <c r="D120" s="90"/>
      <c r="E120" s="90"/>
      <c r="F120" s="90"/>
      <c r="G120" s="90"/>
      <c r="H120" s="90"/>
      <c r="I120" s="91"/>
      <c r="J120" s="91"/>
      <c r="K120" s="91"/>
      <c r="L120" s="91"/>
      <c r="M120" s="91"/>
      <c r="N120" s="91"/>
      <c r="O120" s="70"/>
    </row>
    <row r="121" spans="1:15" ht="14" thickBot="1" x14ac:dyDescent="0.35">
      <c r="A121" s="43" t="s">
        <v>69</v>
      </c>
      <c r="B121" s="93"/>
      <c r="C121" s="94"/>
      <c r="D121" s="94"/>
      <c r="E121" s="94"/>
      <c r="F121" s="94"/>
      <c r="G121" s="94"/>
      <c r="H121" s="94"/>
      <c r="I121" s="95"/>
      <c r="J121" s="95"/>
      <c r="K121" s="95"/>
      <c r="L121" s="95"/>
      <c r="M121" s="95"/>
      <c r="N121" s="95"/>
      <c r="O121" s="70"/>
    </row>
    <row r="122" spans="1:15" ht="14" thickTop="1" x14ac:dyDescent="0.3">
      <c r="A122" s="42" t="s">
        <v>1</v>
      </c>
      <c r="B122" s="97">
        <f>SUM(B118:B121)</f>
        <v>4713737174.9300003</v>
      </c>
      <c r="C122" s="97">
        <f>SUM(C118:C121)</f>
        <v>1245532496.0200005</v>
      </c>
      <c r="D122" s="97">
        <f t="shared" ref="D122:N122" si="10">SUM(D118:D121)</f>
        <v>741334903.85000014</v>
      </c>
      <c r="E122" s="97">
        <f t="shared" si="10"/>
        <v>937837389.03000009</v>
      </c>
      <c r="F122" s="97">
        <f t="shared" si="10"/>
        <v>1123631253.6100001</v>
      </c>
      <c r="G122" s="97">
        <f t="shared" si="10"/>
        <v>499324107.36000001</v>
      </c>
      <c r="H122" s="97">
        <f t="shared" si="10"/>
        <v>116931373.73000002</v>
      </c>
      <c r="I122" s="97">
        <f t="shared" si="10"/>
        <v>21784032.369999997</v>
      </c>
      <c r="J122" s="97">
        <f t="shared" si="10"/>
        <v>0</v>
      </c>
      <c r="K122" s="97">
        <f t="shared" si="10"/>
        <v>5358215.04</v>
      </c>
      <c r="L122" s="97">
        <f t="shared" si="10"/>
        <v>4116409.09</v>
      </c>
      <c r="M122" s="97">
        <f t="shared" si="10"/>
        <v>0</v>
      </c>
      <c r="N122" s="97">
        <f t="shared" si="10"/>
        <v>17886994.829999998</v>
      </c>
      <c r="O122" s="70"/>
    </row>
    <row r="123" spans="1:15" x14ac:dyDescent="0.3">
      <c r="A123" s="26"/>
      <c r="B123" s="99"/>
      <c r="C123" s="99"/>
      <c r="D123" s="99"/>
      <c r="E123" s="99"/>
      <c r="F123" s="99"/>
      <c r="G123" s="99"/>
      <c r="H123" s="99"/>
      <c r="I123" s="99"/>
      <c r="J123" s="99"/>
      <c r="K123" s="99"/>
      <c r="L123" s="99"/>
      <c r="M123" s="99"/>
      <c r="N123" s="99"/>
      <c r="O123" s="67"/>
    </row>
    <row r="125" spans="1:15" x14ac:dyDescent="0.3">
      <c r="A125" s="164" t="s">
        <v>230</v>
      </c>
      <c r="B125" s="164"/>
      <c r="C125" s="164"/>
      <c r="D125" s="164"/>
      <c r="E125" s="164"/>
      <c r="F125" s="164"/>
      <c r="G125" s="164"/>
      <c r="H125" s="164"/>
      <c r="I125" s="164"/>
    </row>
    <row r="126" spans="1:15" ht="40.5" x14ac:dyDescent="0.3">
      <c r="A126" s="109" t="s">
        <v>50</v>
      </c>
      <c r="B126" s="109" t="s">
        <v>51</v>
      </c>
      <c r="C126" s="149" t="s">
        <v>204</v>
      </c>
      <c r="D126" s="149" t="s">
        <v>59</v>
      </c>
      <c r="E126" s="149" t="s">
        <v>61</v>
      </c>
      <c r="F126" s="149" t="s">
        <v>53</v>
      </c>
      <c r="G126" s="150" t="s">
        <v>60</v>
      </c>
      <c r="H126" s="151" t="s">
        <v>54</v>
      </c>
      <c r="I126" s="150" t="s">
        <v>55</v>
      </c>
    </row>
    <row r="127" spans="1:15" x14ac:dyDescent="0.3">
      <c r="A127" s="42" t="s">
        <v>97</v>
      </c>
      <c r="B127" s="70" t="s">
        <v>3</v>
      </c>
      <c r="C127" s="91">
        <v>343000000</v>
      </c>
      <c r="D127" s="277" t="s">
        <v>105</v>
      </c>
      <c r="E127" s="277">
        <v>42479</v>
      </c>
      <c r="F127" s="101" t="s">
        <v>56</v>
      </c>
      <c r="G127" s="101" t="s">
        <v>108</v>
      </c>
      <c r="H127" s="277" t="s">
        <v>114</v>
      </c>
      <c r="I127" s="143">
        <v>3</v>
      </c>
    </row>
    <row r="128" spans="1:15" x14ac:dyDescent="0.3">
      <c r="A128" s="42" t="s">
        <v>96</v>
      </c>
      <c r="B128" s="70" t="s">
        <v>3</v>
      </c>
      <c r="C128" s="91">
        <v>75000000</v>
      </c>
      <c r="D128" s="277" t="s">
        <v>104</v>
      </c>
      <c r="E128" s="277">
        <v>43173</v>
      </c>
      <c r="F128" s="101" t="s">
        <v>58</v>
      </c>
      <c r="G128" s="101" t="s">
        <v>109</v>
      </c>
      <c r="H128" s="277" t="s">
        <v>113</v>
      </c>
      <c r="I128" s="143">
        <v>5</v>
      </c>
    </row>
    <row r="129" spans="1:9" x14ac:dyDescent="0.3">
      <c r="A129" s="42" t="s">
        <v>99</v>
      </c>
      <c r="B129" s="70" t="s">
        <v>3</v>
      </c>
      <c r="C129" s="91">
        <v>564000000</v>
      </c>
      <c r="D129" s="277" t="s">
        <v>107</v>
      </c>
      <c r="E129" s="277">
        <v>42922</v>
      </c>
      <c r="F129" s="101" t="s">
        <v>56</v>
      </c>
      <c r="G129" s="101" t="s">
        <v>108</v>
      </c>
      <c r="H129" s="277" t="s">
        <v>116</v>
      </c>
      <c r="I129" s="143">
        <v>6</v>
      </c>
    </row>
    <row r="130" spans="1:9" x14ac:dyDescent="0.3">
      <c r="A130" s="42" t="s">
        <v>94</v>
      </c>
      <c r="B130" s="70" t="s">
        <v>3</v>
      </c>
      <c r="C130" s="91">
        <v>880000000</v>
      </c>
      <c r="D130" s="277" t="s">
        <v>102</v>
      </c>
      <c r="E130" s="277">
        <v>43357</v>
      </c>
      <c r="F130" s="101" t="s">
        <v>56</v>
      </c>
      <c r="G130" s="101" t="s">
        <v>108</v>
      </c>
      <c r="H130" s="277" t="s">
        <v>112</v>
      </c>
      <c r="I130" s="143">
        <v>7</v>
      </c>
    </row>
    <row r="131" spans="1:9" x14ac:dyDescent="0.3">
      <c r="A131" s="42" t="s">
        <v>95</v>
      </c>
      <c r="B131" s="70" t="s">
        <v>3</v>
      </c>
      <c r="C131" s="91">
        <v>338500000</v>
      </c>
      <c r="D131" s="277" t="s">
        <v>103</v>
      </c>
      <c r="E131" s="277">
        <v>42992</v>
      </c>
      <c r="F131" s="101" t="s">
        <v>56</v>
      </c>
      <c r="G131" s="101" t="s">
        <v>108</v>
      </c>
      <c r="H131" s="277" t="s">
        <v>112</v>
      </c>
      <c r="I131" s="143">
        <v>8</v>
      </c>
    </row>
    <row r="132" spans="1:9" x14ac:dyDescent="0.3">
      <c r="A132" s="42" t="s">
        <v>164</v>
      </c>
      <c r="B132" s="70" t="s">
        <v>3</v>
      </c>
      <c r="C132" s="91">
        <v>880000000</v>
      </c>
      <c r="D132" s="277">
        <f>E132-365</f>
        <v>43242</v>
      </c>
      <c r="E132" s="277">
        <v>43607</v>
      </c>
      <c r="F132" s="101" t="s">
        <v>56</v>
      </c>
      <c r="G132" s="101" t="s">
        <v>108</v>
      </c>
      <c r="H132" s="277">
        <v>41355</v>
      </c>
      <c r="I132" s="143">
        <v>9</v>
      </c>
    </row>
    <row r="133" spans="1:9" x14ac:dyDescent="0.3">
      <c r="A133" s="26" t="s">
        <v>167</v>
      </c>
      <c r="B133" s="70" t="s">
        <v>3</v>
      </c>
      <c r="C133" s="91">
        <v>395000000</v>
      </c>
      <c r="D133" s="277">
        <v>42464</v>
      </c>
      <c r="E133" s="277">
        <v>42829</v>
      </c>
      <c r="F133" s="101" t="s">
        <v>56</v>
      </c>
      <c r="G133" s="101" t="s">
        <v>108</v>
      </c>
      <c r="H133" s="277">
        <v>41367</v>
      </c>
      <c r="I133" s="143">
        <v>10</v>
      </c>
    </row>
    <row r="134" spans="1:9" x14ac:dyDescent="0.3">
      <c r="A134" s="26" t="s">
        <v>200</v>
      </c>
      <c r="B134" s="308" t="s">
        <v>3</v>
      </c>
      <c r="C134" s="92">
        <v>650000000</v>
      </c>
      <c r="D134" s="309">
        <v>43438</v>
      </c>
      <c r="E134" s="309">
        <v>43803</v>
      </c>
      <c r="F134" s="143" t="s">
        <v>58</v>
      </c>
      <c r="G134" s="143" t="s">
        <v>109</v>
      </c>
      <c r="H134" s="309">
        <v>41521</v>
      </c>
      <c r="I134" s="143">
        <v>11</v>
      </c>
    </row>
    <row r="135" spans="1:9" x14ac:dyDescent="0.3">
      <c r="A135" s="26" t="s">
        <v>206</v>
      </c>
      <c r="B135" s="308" t="s">
        <v>3</v>
      </c>
      <c r="C135" s="91">
        <v>445000000</v>
      </c>
      <c r="D135" s="277">
        <v>43640</v>
      </c>
      <c r="E135" s="277">
        <v>44006</v>
      </c>
      <c r="F135" s="101" t="s">
        <v>56</v>
      </c>
      <c r="G135" s="101" t="s">
        <v>108</v>
      </c>
      <c r="H135" s="309">
        <v>41663</v>
      </c>
      <c r="I135" s="143">
        <v>12</v>
      </c>
    </row>
    <row r="136" spans="1:9" ht="14" thickBot="1" x14ac:dyDescent="0.35">
      <c r="A136" s="43" t="s">
        <v>207</v>
      </c>
      <c r="B136" s="169" t="s">
        <v>3</v>
      </c>
      <c r="C136" s="95">
        <v>200000000</v>
      </c>
      <c r="D136" s="275">
        <v>44315</v>
      </c>
      <c r="E136" s="275">
        <v>44680</v>
      </c>
      <c r="F136" s="172" t="s">
        <v>56</v>
      </c>
      <c r="G136" s="171" t="s">
        <v>108</v>
      </c>
      <c r="H136" s="278">
        <v>41521</v>
      </c>
      <c r="I136" s="172">
        <v>13</v>
      </c>
    </row>
    <row r="137" spans="1:9" s="67" customFormat="1" ht="14" thickTop="1" x14ac:dyDescent="0.3">
      <c r="A137" s="26"/>
      <c r="C137" s="104"/>
      <c r="D137" s="102"/>
      <c r="E137" s="102"/>
      <c r="F137" s="105"/>
      <c r="I137" s="102"/>
    </row>
    <row r="138" spans="1:9" s="67" customFormat="1" x14ac:dyDescent="0.3">
      <c r="A138" s="26"/>
      <c r="C138" s="104"/>
      <c r="D138" s="102"/>
      <c r="E138" s="102"/>
      <c r="F138" s="105"/>
      <c r="I138" s="102"/>
    </row>
    <row r="139" spans="1:9" s="67" customFormat="1" x14ac:dyDescent="0.3">
      <c r="A139" s="164" t="s">
        <v>231</v>
      </c>
      <c r="B139" s="164"/>
      <c r="C139" s="164"/>
      <c r="D139" s="164"/>
      <c r="E139" s="164"/>
      <c r="F139" s="164"/>
      <c r="I139" s="102"/>
    </row>
    <row r="140" spans="1:9" s="67" customFormat="1" x14ac:dyDescent="0.3">
      <c r="A140" s="136" t="s">
        <v>119</v>
      </c>
      <c r="B140" s="19" t="s">
        <v>50</v>
      </c>
      <c r="C140" s="19" t="s">
        <v>120</v>
      </c>
      <c r="D140" s="19" t="s">
        <v>51</v>
      </c>
      <c r="E140" s="63" t="s">
        <v>121</v>
      </c>
      <c r="F140" s="63" t="s">
        <v>166</v>
      </c>
      <c r="I140" s="102"/>
    </row>
    <row r="141" spans="1:9" s="67" customFormat="1" x14ac:dyDescent="0.3">
      <c r="A141" s="8" t="s">
        <v>123</v>
      </c>
      <c r="B141" s="125" t="s">
        <v>124</v>
      </c>
      <c r="C141" s="125" t="s">
        <v>125</v>
      </c>
      <c r="D141" s="125" t="s">
        <v>3</v>
      </c>
      <c r="E141" s="92">
        <v>132778000</v>
      </c>
      <c r="F141" s="64" t="s">
        <v>126</v>
      </c>
      <c r="I141" s="102"/>
    </row>
    <row r="142" spans="1:9" s="67" customFormat="1" x14ac:dyDescent="0.3">
      <c r="A142" s="7" t="s">
        <v>168</v>
      </c>
      <c r="B142" s="126" t="s">
        <v>130</v>
      </c>
      <c r="C142" s="126" t="s">
        <v>128</v>
      </c>
      <c r="D142" s="126" t="s">
        <v>3</v>
      </c>
      <c r="E142" s="92">
        <v>25000000</v>
      </c>
      <c r="F142" s="64" t="s">
        <v>195</v>
      </c>
      <c r="I142" s="102"/>
    </row>
    <row r="143" spans="1:9" s="67" customFormat="1" x14ac:dyDescent="0.3">
      <c r="A143" s="7" t="s">
        <v>208</v>
      </c>
      <c r="B143" s="126" t="s">
        <v>213</v>
      </c>
      <c r="C143" s="126" t="s">
        <v>128</v>
      </c>
      <c r="D143" s="126" t="s">
        <v>3</v>
      </c>
      <c r="E143" s="91">
        <v>19000000</v>
      </c>
      <c r="F143" s="64" t="s">
        <v>129</v>
      </c>
      <c r="I143" s="102"/>
    </row>
    <row r="144" spans="1:9" s="67" customFormat="1" x14ac:dyDescent="0.3">
      <c r="A144" s="7" t="s">
        <v>209</v>
      </c>
      <c r="B144" s="126" t="s">
        <v>214</v>
      </c>
      <c r="C144" s="126" t="s">
        <v>128</v>
      </c>
      <c r="D144" s="126" t="s">
        <v>3</v>
      </c>
      <c r="E144" s="92">
        <v>141000000</v>
      </c>
      <c r="F144" s="64" t="s">
        <v>129</v>
      </c>
      <c r="I144" s="102"/>
    </row>
    <row r="145" spans="1:11" s="67" customFormat="1" x14ac:dyDescent="0.3">
      <c r="A145" s="7" t="s">
        <v>210</v>
      </c>
      <c r="B145" s="126" t="s">
        <v>215</v>
      </c>
      <c r="C145" s="126" t="s">
        <v>128</v>
      </c>
      <c r="D145" s="126" t="s">
        <v>3</v>
      </c>
      <c r="E145" s="92">
        <v>24000000</v>
      </c>
      <c r="F145" s="64" t="s">
        <v>129</v>
      </c>
      <c r="I145" s="102"/>
    </row>
    <row r="146" spans="1:11" s="67" customFormat="1" x14ac:dyDescent="0.3">
      <c r="A146" s="7" t="s">
        <v>171</v>
      </c>
      <c r="B146" s="126" t="s">
        <v>134</v>
      </c>
      <c r="C146" s="126" t="s">
        <v>128</v>
      </c>
      <c r="D146" s="126" t="s">
        <v>3</v>
      </c>
      <c r="E146" s="92">
        <v>25000000</v>
      </c>
      <c r="F146" s="64" t="s">
        <v>129</v>
      </c>
      <c r="I146" s="102"/>
    </row>
    <row r="147" spans="1:11" s="67" customFormat="1" x14ac:dyDescent="0.3">
      <c r="A147" s="7" t="s">
        <v>172</v>
      </c>
      <c r="B147" s="126" t="s">
        <v>178</v>
      </c>
      <c r="C147" s="126" t="s">
        <v>128</v>
      </c>
      <c r="D147" s="126" t="s">
        <v>3</v>
      </c>
      <c r="E147" s="92">
        <v>10000000</v>
      </c>
      <c r="F147" s="64" t="s">
        <v>129</v>
      </c>
      <c r="I147" s="102"/>
    </row>
    <row r="148" spans="1:11" s="67" customFormat="1" x14ac:dyDescent="0.3">
      <c r="A148" s="7" t="s">
        <v>187</v>
      </c>
      <c r="B148" s="126" t="s">
        <v>192</v>
      </c>
      <c r="C148" s="126" t="s">
        <v>128</v>
      </c>
      <c r="D148" s="126" t="s">
        <v>3</v>
      </c>
      <c r="E148" s="92">
        <v>50000000</v>
      </c>
      <c r="F148" s="64" t="s">
        <v>195</v>
      </c>
      <c r="I148" s="102"/>
    </row>
    <row r="149" spans="1:11" s="67" customFormat="1" x14ac:dyDescent="0.3">
      <c r="A149" s="7" t="s">
        <v>189</v>
      </c>
      <c r="B149" s="126" t="s">
        <v>193</v>
      </c>
      <c r="C149" s="126" t="s">
        <v>128</v>
      </c>
      <c r="D149" s="126" t="s">
        <v>3</v>
      </c>
      <c r="E149" s="92">
        <v>152000000</v>
      </c>
      <c r="F149" s="64" t="s">
        <v>129</v>
      </c>
      <c r="I149" s="102"/>
    </row>
    <row r="150" spans="1:11" s="67" customFormat="1" x14ac:dyDescent="0.3">
      <c r="A150" s="7" t="s">
        <v>211</v>
      </c>
      <c r="B150" s="126" t="s">
        <v>216</v>
      </c>
      <c r="C150" s="126" t="s">
        <v>128</v>
      </c>
      <c r="D150" s="126" t="s">
        <v>3</v>
      </c>
      <c r="E150" s="92">
        <v>124000000</v>
      </c>
      <c r="F150" s="64" t="s">
        <v>195</v>
      </c>
      <c r="I150" s="102"/>
    </row>
    <row r="151" spans="1:11" s="67" customFormat="1" x14ac:dyDescent="0.3">
      <c r="A151" s="7" t="s">
        <v>190</v>
      </c>
      <c r="B151" s="126" t="s">
        <v>194</v>
      </c>
      <c r="C151" s="126" t="s">
        <v>128</v>
      </c>
      <c r="D151" s="126" t="s">
        <v>3</v>
      </c>
      <c r="E151" s="92">
        <v>45000000</v>
      </c>
      <c r="F151" s="64" t="s">
        <v>129</v>
      </c>
      <c r="I151" s="102"/>
    </row>
    <row r="152" spans="1:11" s="67" customFormat="1" x14ac:dyDescent="0.3">
      <c r="A152" s="7" t="s">
        <v>175</v>
      </c>
      <c r="B152" s="126" t="s">
        <v>163</v>
      </c>
      <c r="C152" s="126" t="s">
        <v>128</v>
      </c>
      <c r="D152" s="126" t="s">
        <v>3</v>
      </c>
      <c r="E152" s="92">
        <v>25000000</v>
      </c>
      <c r="F152" s="64" t="s">
        <v>195</v>
      </c>
      <c r="I152" s="102"/>
    </row>
    <row r="153" spans="1:11" s="67" customFormat="1" ht="14" thickBot="1" x14ac:dyDescent="0.35">
      <c r="A153" s="3" t="s">
        <v>212</v>
      </c>
      <c r="B153" s="165" t="s">
        <v>217</v>
      </c>
      <c r="C153" s="165" t="s">
        <v>128</v>
      </c>
      <c r="D153" s="128" t="s">
        <v>3</v>
      </c>
      <c r="E153" s="96">
        <v>100000000</v>
      </c>
      <c r="F153" s="66" t="s">
        <v>129</v>
      </c>
      <c r="I153" s="102"/>
    </row>
    <row r="154" spans="1:11" s="67" customFormat="1" ht="14" thickTop="1" x14ac:dyDescent="0.3">
      <c r="A154" s="5" t="s">
        <v>1</v>
      </c>
      <c r="B154" s="166"/>
      <c r="C154" s="166"/>
      <c r="D154" s="166"/>
      <c r="E154" s="103">
        <f>SUM(E141:E153)</f>
        <v>872778000</v>
      </c>
      <c r="F154" s="167"/>
      <c r="I154" s="102"/>
    </row>
    <row r="155" spans="1:11" s="67" customFormat="1" x14ac:dyDescent="0.3">
      <c r="A155" s="26"/>
      <c r="C155" s="104"/>
      <c r="D155" s="102"/>
      <c r="E155" s="102"/>
      <c r="F155" s="105"/>
      <c r="I155" s="102"/>
    </row>
    <row r="156" spans="1:11" x14ac:dyDescent="0.3">
      <c r="A156" s="67"/>
      <c r="B156" s="67"/>
      <c r="C156" s="67"/>
      <c r="D156" s="67"/>
      <c r="E156" s="67"/>
      <c r="F156" s="67"/>
      <c r="G156" s="67"/>
      <c r="H156" s="67"/>
      <c r="I156" s="67"/>
      <c r="J156" s="67"/>
      <c r="K156" s="67"/>
    </row>
    <row r="157" spans="1:11" x14ac:dyDescent="0.3">
      <c r="A157" s="164" t="s">
        <v>232</v>
      </c>
      <c r="B157" s="164"/>
      <c r="C157" s="164"/>
      <c r="D157" s="164"/>
      <c r="E157" s="164"/>
    </row>
    <row r="177" spans="1:1" x14ac:dyDescent="0.3">
      <c r="A177"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162"/>
  <sheetViews>
    <sheetView workbookViewId="0">
      <selection activeCell="C22" sqref="C22"/>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41639</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4558705957.3800001</v>
      </c>
      <c r="C7" s="121"/>
      <c r="D7" s="174"/>
      <c r="E7" s="119"/>
      <c r="F7" s="120"/>
      <c r="G7" s="55"/>
      <c r="H7" s="55"/>
      <c r="I7" s="67"/>
      <c r="J7" s="67"/>
      <c r="K7" s="67"/>
      <c r="L7" s="67"/>
      <c r="M7" s="67"/>
    </row>
    <row r="8" spans="1:13" x14ac:dyDescent="0.3">
      <c r="A8" s="56" t="s">
        <v>78</v>
      </c>
      <c r="B8" s="123">
        <f>B7/B9</f>
        <v>1028588.8893005415</v>
      </c>
      <c r="C8" s="121"/>
      <c r="D8" s="175"/>
      <c r="E8" s="119"/>
      <c r="F8" s="120"/>
      <c r="G8" s="55"/>
      <c r="H8" s="55"/>
      <c r="I8" s="67"/>
      <c r="J8" s="67"/>
      <c r="K8" s="67"/>
      <c r="L8" s="67"/>
      <c r="M8" s="67"/>
    </row>
    <row r="9" spans="1:13" x14ac:dyDescent="0.3">
      <c r="A9" s="56" t="s">
        <v>73</v>
      </c>
      <c r="B9" s="123">
        <v>4432</v>
      </c>
      <c r="C9" s="121"/>
      <c r="D9" s="174"/>
      <c r="E9" s="119"/>
      <c r="F9" s="120"/>
      <c r="G9" s="55"/>
      <c r="H9" s="55"/>
      <c r="I9" s="67"/>
      <c r="J9" s="67"/>
      <c r="K9" s="67"/>
      <c r="L9" s="67"/>
      <c r="M9" s="67"/>
    </row>
    <row r="10" spans="1:13" ht="13.5" customHeight="1" x14ac:dyDescent="0.3">
      <c r="A10" s="56" t="s">
        <v>79</v>
      </c>
      <c r="B10" s="56">
        <f>47000000/B7</f>
        <v>1.0309943312731679E-2</v>
      </c>
      <c r="C10" s="121"/>
      <c r="D10" s="118"/>
      <c r="E10" s="119"/>
      <c r="F10" s="120"/>
      <c r="G10" s="55"/>
      <c r="H10" s="55"/>
      <c r="I10" s="67"/>
      <c r="J10" s="67"/>
      <c r="K10" s="67"/>
      <c r="L10" s="67"/>
      <c r="M10" s="67"/>
    </row>
    <row r="11" spans="1:13" x14ac:dyDescent="0.3">
      <c r="A11" s="56" t="s">
        <v>74</v>
      </c>
      <c r="B11" s="123">
        <v>33</v>
      </c>
      <c r="C11" s="121"/>
      <c r="D11" s="118"/>
      <c r="E11" s="119"/>
      <c r="F11" s="120"/>
      <c r="G11" s="55"/>
      <c r="H11" s="55"/>
      <c r="I11" s="67"/>
      <c r="J11" s="67"/>
      <c r="K11" s="67"/>
      <c r="L11" s="67"/>
      <c r="M11" s="67"/>
    </row>
    <row r="12" spans="1:13" x14ac:dyDescent="0.3">
      <c r="A12" s="56" t="s">
        <v>81</v>
      </c>
      <c r="B12" s="123">
        <v>163</v>
      </c>
      <c r="C12" s="121"/>
      <c r="D12" s="118"/>
      <c r="E12" s="119"/>
      <c r="F12" s="120"/>
      <c r="G12" s="55"/>
      <c r="H12" s="55"/>
      <c r="I12" s="67"/>
      <c r="J12" s="67"/>
      <c r="K12" s="67"/>
      <c r="L12" s="67"/>
      <c r="M12" s="67"/>
    </row>
    <row r="13" spans="1:13" x14ac:dyDescent="0.3">
      <c r="A13" s="56" t="s">
        <v>75</v>
      </c>
      <c r="B13" s="123">
        <v>4142</v>
      </c>
      <c r="C13" s="121"/>
      <c r="D13" s="118"/>
      <c r="E13" s="119"/>
      <c r="F13" s="120"/>
      <c r="G13" s="55"/>
      <c r="H13" s="55"/>
      <c r="I13" s="295"/>
      <c r="J13" s="295"/>
      <c r="K13" s="67"/>
      <c r="L13" s="67"/>
      <c r="M13" s="67"/>
    </row>
    <row r="14" spans="1:13" x14ac:dyDescent="0.3">
      <c r="A14" s="56" t="s">
        <v>196</v>
      </c>
      <c r="B14" s="56">
        <v>0.5141</v>
      </c>
      <c r="C14" s="121"/>
      <c r="D14" s="118"/>
      <c r="E14" s="119"/>
      <c r="F14" s="120"/>
      <c r="G14" s="55"/>
      <c r="H14" s="55"/>
      <c r="I14" s="295"/>
      <c r="J14" s="295"/>
      <c r="K14" s="67"/>
      <c r="L14" s="67"/>
      <c r="M14" s="67"/>
    </row>
    <row r="15" spans="1:13" x14ac:dyDescent="0.3">
      <c r="A15" s="56" t="s">
        <v>83</v>
      </c>
      <c r="B15" s="141">
        <v>1</v>
      </c>
      <c r="C15" s="121"/>
      <c r="D15" s="118"/>
      <c r="E15" s="119"/>
      <c r="F15" s="120"/>
      <c r="G15" s="55"/>
      <c r="H15" s="55"/>
      <c r="I15" s="295"/>
      <c r="J15" s="295"/>
      <c r="K15" s="67"/>
      <c r="L15" s="67"/>
      <c r="M15" s="67"/>
    </row>
    <row r="16" spans="1:13" x14ac:dyDescent="0.3">
      <c r="A16" s="56" t="s">
        <v>86</v>
      </c>
      <c r="B16" s="141">
        <v>1</v>
      </c>
      <c r="C16" s="121"/>
      <c r="D16" s="118"/>
      <c r="E16" s="119"/>
      <c r="F16" s="120"/>
      <c r="G16" s="55"/>
      <c r="H16" s="55"/>
      <c r="I16" s="295"/>
      <c r="J16" s="295"/>
      <c r="K16" s="67"/>
      <c r="L16" s="67"/>
      <c r="M16" s="67"/>
    </row>
    <row r="17" spans="1:13" x14ac:dyDescent="0.3">
      <c r="A17" s="56" t="s">
        <v>84</v>
      </c>
      <c r="B17" s="56">
        <v>0</v>
      </c>
      <c r="C17" s="121"/>
      <c r="D17" s="118"/>
      <c r="E17" s="119"/>
      <c r="F17" s="120"/>
      <c r="G17" s="55"/>
      <c r="H17" s="55"/>
      <c r="I17" s="295"/>
      <c r="J17" s="295"/>
      <c r="K17" s="67"/>
      <c r="L17" s="67"/>
      <c r="M17" s="67"/>
    </row>
    <row r="18" spans="1:13" x14ac:dyDescent="0.3">
      <c r="A18" s="56" t="s">
        <v>49</v>
      </c>
      <c r="B18" s="123">
        <f>E139</f>
        <v>527000000</v>
      </c>
      <c r="C18" s="121"/>
      <c r="D18" s="121"/>
      <c r="E18" s="55"/>
      <c r="F18" s="186"/>
      <c r="G18" s="306"/>
      <c r="H18" s="297"/>
      <c r="I18" s="297"/>
      <c r="J18" s="167"/>
      <c r="K18" s="67"/>
      <c r="L18" s="67"/>
      <c r="M18" s="67"/>
    </row>
    <row r="19" spans="1:13" x14ac:dyDescent="0.3">
      <c r="A19" s="57" t="s">
        <v>80</v>
      </c>
      <c r="B19" s="58">
        <f>B18+B7</f>
        <v>5085705957.3800001</v>
      </c>
      <c r="C19" s="59"/>
      <c r="D19" s="59"/>
      <c r="E19" s="61"/>
      <c r="F19" s="186"/>
      <c r="G19" s="307"/>
      <c r="H19" s="297"/>
      <c r="I19" s="297"/>
      <c r="J19" s="167"/>
      <c r="K19" s="67"/>
      <c r="L19" s="67"/>
      <c r="M19" s="67"/>
    </row>
    <row r="20" spans="1:13" x14ac:dyDescent="0.3">
      <c r="A20" s="305" t="s">
        <v>197</v>
      </c>
      <c r="B20" s="310">
        <f>$B$19/SUM($C$115:$C$123)-1</f>
        <v>0.1910318401358313</v>
      </c>
      <c r="C20" s="59"/>
      <c r="D20" s="311" t="s">
        <v>199</v>
      </c>
      <c r="E20" s="61"/>
      <c r="F20" s="186"/>
      <c r="G20" s="307"/>
      <c r="H20" s="297"/>
      <c r="I20" s="297"/>
      <c r="J20" s="167"/>
      <c r="K20" s="67"/>
      <c r="L20" s="67"/>
      <c r="M20" s="67"/>
    </row>
    <row r="21" spans="1:13" x14ac:dyDescent="0.3">
      <c r="A21" s="305" t="s">
        <v>198</v>
      </c>
      <c r="B21" s="310">
        <f>($B$19-D21)/SUM($C$115:$C$123)-1</f>
        <v>0.14089015754513956</v>
      </c>
      <c r="C21" s="59"/>
      <c r="D21" s="312">
        <v>214104984.66225412</v>
      </c>
      <c r="E21" s="61"/>
      <c r="F21" s="186"/>
      <c r="G21" s="307"/>
      <c r="H21" s="297"/>
      <c r="I21" s="297"/>
      <c r="J21" s="167"/>
      <c r="K21" s="67"/>
      <c r="L21" s="67"/>
      <c r="M21" s="67"/>
    </row>
    <row r="22" spans="1:13" x14ac:dyDescent="0.3">
      <c r="A22" s="305" t="s">
        <v>198</v>
      </c>
      <c r="B22" s="310">
        <f>($B$19-D22)/SUM($C$115:$C$123)-1</f>
        <v>8.2271811701591036E-2</v>
      </c>
      <c r="C22" s="59"/>
      <c r="D22" s="312">
        <v>464405321.41420692</v>
      </c>
      <c r="E22" s="61"/>
      <c r="F22" s="186"/>
      <c r="G22" s="307"/>
      <c r="H22" s="297"/>
      <c r="I22" s="297"/>
      <c r="J22" s="167"/>
      <c r="K22" s="67"/>
      <c r="L22" s="67"/>
      <c r="M22" s="67"/>
    </row>
    <row r="23" spans="1:13" s="54" customFormat="1" x14ac:dyDescent="0.3">
      <c r="A23" s="59"/>
      <c r="B23" s="60"/>
      <c r="C23" s="59"/>
      <c r="D23" s="59"/>
      <c r="E23" s="61"/>
      <c r="F23" s="186"/>
      <c r="G23" s="306"/>
      <c r="H23" s="297"/>
      <c r="I23" s="297"/>
      <c r="J23" s="167"/>
      <c r="K23" s="55"/>
      <c r="L23" s="55"/>
      <c r="M23" s="55"/>
    </row>
    <row r="24" spans="1:13" x14ac:dyDescent="0.3">
      <c r="F24" s="186"/>
      <c r="G24" s="67"/>
      <c r="H24" s="297"/>
      <c r="I24" s="297"/>
      <c r="J24" s="167"/>
      <c r="K24" s="67"/>
      <c r="L24" s="67"/>
      <c r="M24" s="67"/>
    </row>
    <row r="25" spans="1:13" x14ac:dyDescent="0.3">
      <c r="A25" s="163" t="s">
        <v>71</v>
      </c>
      <c r="B25" s="164"/>
      <c r="C25" s="163"/>
      <c r="D25" s="164"/>
      <c r="E25" s="116"/>
      <c r="F25" s="186"/>
      <c r="G25" s="67"/>
      <c r="H25" s="297"/>
      <c r="I25" s="297"/>
      <c r="J25" s="167"/>
      <c r="K25" s="67"/>
      <c r="L25" s="67"/>
      <c r="M25" s="67"/>
    </row>
    <row r="26" spans="1:13" x14ac:dyDescent="0.3">
      <c r="A26" s="106"/>
      <c r="B26" s="106"/>
      <c r="C26" s="106"/>
      <c r="D26" s="106"/>
      <c r="E26" s="117"/>
      <c r="F26" s="186"/>
      <c r="G26" s="67"/>
      <c r="H26" s="297"/>
      <c r="I26" s="297"/>
      <c r="J26" s="167"/>
      <c r="K26" s="67"/>
      <c r="L26" s="67"/>
      <c r="M26" s="67"/>
    </row>
    <row r="27" spans="1:13" x14ac:dyDescent="0.3">
      <c r="A27" s="9" t="s">
        <v>16</v>
      </c>
      <c r="B27" s="10" t="s">
        <v>4</v>
      </c>
      <c r="C27" s="10" t="s">
        <v>5</v>
      </c>
      <c r="D27" s="63" t="s">
        <v>17</v>
      </c>
      <c r="F27" s="186"/>
      <c r="G27" s="186"/>
      <c r="H27" s="297"/>
      <c r="I27" s="297"/>
      <c r="J27" s="167"/>
      <c r="K27" s="67"/>
      <c r="L27" s="67"/>
      <c r="M27" s="67"/>
    </row>
    <row r="28" spans="1:13" ht="14.5" x14ac:dyDescent="0.35">
      <c r="A28" s="6" t="s">
        <v>6</v>
      </c>
      <c r="B28" s="126">
        <v>1217828677.0899994</v>
      </c>
      <c r="C28" s="129">
        <v>1882</v>
      </c>
      <c r="D28" s="64">
        <f t="shared" ref="D28:D37" si="0">B28/$B$40</f>
        <v>0.26714350266844483</v>
      </c>
      <c r="E28" s="173"/>
      <c r="F28" s="186"/>
      <c r="G28" s="186"/>
      <c r="H28" s="297"/>
      <c r="I28" s="298"/>
      <c r="J28" s="167"/>
      <c r="K28" s="67"/>
      <c r="L28" s="67"/>
      <c r="M28" s="67"/>
    </row>
    <row r="29" spans="1:13" ht="14.5" x14ac:dyDescent="0.35">
      <c r="A29" s="6" t="s">
        <v>7</v>
      </c>
      <c r="B29" s="126">
        <v>766787728.47000039</v>
      </c>
      <c r="C29" s="129">
        <v>636</v>
      </c>
      <c r="D29" s="64">
        <f t="shared" si="0"/>
        <v>0.16820293645582968</v>
      </c>
      <c r="E29" s="173"/>
      <c r="F29" s="186"/>
      <c r="G29" s="186"/>
      <c r="H29" s="297"/>
      <c r="I29" s="299"/>
      <c r="J29" s="167"/>
      <c r="K29" s="67"/>
      <c r="L29" s="67"/>
      <c r="M29" s="67"/>
    </row>
    <row r="30" spans="1:13" ht="14.5" x14ac:dyDescent="0.35">
      <c r="A30" s="6" t="s">
        <v>8</v>
      </c>
      <c r="B30" s="126">
        <v>908576669.64999986</v>
      </c>
      <c r="C30" s="129">
        <v>660</v>
      </c>
      <c r="D30" s="64">
        <f t="shared" si="0"/>
        <v>0.19930582892259652</v>
      </c>
      <c r="E30" s="173"/>
      <c r="F30" s="186"/>
      <c r="G30" s="186"/>
      <c r="H30" s="297"/>
      <c r="I30" s="299"/>
      <c r="J30" s="167"/>
      <c r="K30" s="67"/>
      <c r="L30" s="67"/>
      <c r="M30" s="67"/>
    </row>
    <row r="31" spans="1:13" ht="14.5" x14ac:dyDescent="0.35">
      <c r="A31" s="6" t="s">
        <v>9</v>
      </c>
      <c r="B31" s="126">
        <v>976726813.48000014</v>
      </c>
      <c r="C31" s="129">
        <v>612</v>
      </c>
      <c r="D31" s="64">
        <f t="shared" si="0"/>
        <v>0.21425527827667765</v>
      </c>
      <c r="E31" s="173"/>
      <c r="F31" s="186"/>
      <c r="G31" s="186"/>
      <c r="H31" s="297"/>
      <c r="I31" s="299"/>
      <c r="J31" s="167"/>
      <c r="K31" s="67"/>
      <c r="L31" s="67"/>
      <c r="M31" s="67"/>
    </row>
    <row r="32" spans="1:13" ht="14.5" x14ac:dyDescent="0.35">
      <c r="A32" s="6" t="s">
        <v>140</v>
      </c>
      <c r="B32" s="126">
        <v>414303519.19000006</v>
      </c>
      <c r="C32" s="129">
        <v>237</v>
      </c>
      <c r="D32" s="64">
        <f t="shared" si="0"/>
        <v>9.0881825470513655E-2</v>
      </c>
      <c r="E32" s="173"/>
      <c r="F32" s="186"/>
      <c r="G32" s="186"/>
      <c r="H32" s="297"/>
      <c r="I32" s="299"/>
      <c r="J32" s="167"/>
      <c r="K32" s="67"/>
      <c r="L32" s="67"/>
      <c r="M32" s="67"/>
    </row>
    <row r="33" spans="1:14" ht="14.5" x14ac:dyDescent="0.35">
      <c r="A33" s="6" t="s">
        <v>141</v>
      </c>
      <c r="B33" s="126">
        <v>223123108.16</v>
      </c>
      <c r="C33" s="129">
        <v>106</v>
      </c>
      <c r="D33" s="64">
        <f t="shared" si="0"/>
        <v>4.8944395678512748E-2</v>
      </c>
      <c r="E33" s="173"/>
      <c r="F33" s="304"/>
      <c r="G33" s="186"/>
      <c r="H33" s="297"/>
      <c r="I33" s="302"/>
      <c r="J33" s="303"/>
      <c r="K33" s="67"/>
      <c r="L33" s="67"/>
      <c r="M33" s="67"/>
    </row>
    <row r="34" spans="1:14" ht="14.5" x14ac:dyDescent="0.35">
      <c r="A34" s="6" t="s">
        <v>10</v>
      </c>
      <c r="B34" s="126">
        <v>23929712.469999999</v>
      </c>
      <c r="C34" s="129">
        <v>10</v>
      </c>
      <c r="D34" s="64">
        <f t="shared" si="0"/>
        <v>5.2492335969291145E-3</v>
      </c>
      <c r="E34" s="173"/>
      <c r="F34" s="299"/>
      <c r="G34" s="186"/>
      <c r="H34" s="298"/>
      <c r="I34" s="295"/>
      <c r="J34" s="295"/>
      <c r="K34" s="67"/>
      <c r="L34" s="67"/>
      <c r="M34" s="67"/>
    </row>
    <row r="35" spans="1:14" ht="14.5" x14ac:dyDescent="0.35">
      <c r="A35" s="6" t="s">
        <v>11</v>
      </c>
      <c r="B35" s="134">
        <v>0</v>
      </c>
      <c r="C35" s="135">
        <v>0</v>
      </c>
      <c r="D35" s="64">
        <f t="shared" si="0"/>
        <v>0</v>
      </c>
      <c r="E35" s="173"/>
      <c r="F35" s="67"/>
      <c r="G35" s="186"/>
      <c r="H35" s="299"/>
      <c r="I35" s="67"/>
      <c r="J35" s="67"/>
      <c r="K35" s="67"/>
      <c r="L35" s="67"/>
      <c r="M35" s="67"/>
    </row>
    <row r="36" spans="1:14" ht="14.5" x14ac:dyDescent="0.35">
      <c r="A36" s="6" t="s">
        <v>12</v>
      </c>
      <c r="B36" s="130">
        <v>3907383</v>
      </c>
      <c r="C36" s="131">
        <v>2</v>
      </c>
      <c r="D36" s="64">
        <f t="shared" si="0"/>
        <v>8.5712547300279679E-4</v>
      </c>
      <c r="E36" s="173"/>
      <c r="F36" s="67"/>
      <c r="G36" s="186"/>
      <c r="H36" s="299"/>
      <c r="I36" s="67"/>
      <c r="J36" s="67"/>
      <c r="K36" s="67"/>
      <c r="L36" s="67"/>
      <c r="M36" s="67"/>
    </row>
    <row r="37" spans="1:14" ht="14.5" x14ac:dyDescent="0.35">
      <c r="A37" s="6" t="s">
        <v>13</v>
      </c>
      <c r="B37" s="130">
        <v>0</v>
      </c>
      <c r="C37" s="131">
        <v>0</v>
      </c>
      <c r="D37" s="64">
        <f t="shared" si="0"/>
        <v>0</v>
      </c>
      <c r="E37" s="173"/>
      <c r="F37" s="67"/>
      <c r="G37" s="186"/>
      <c r="H37" s="299"/>
      <c r="I37" s="67"/>
      <c r="J37" s="67"/>
      <c r="K37" s="67"/>
      <c r="L37" s="67"/>
      <c r="M37" s="67"/>
    </row>
    <row r="38" spans="1:14" ht="14.5" x14ac:dyDescent="0.35">
      <c r="A38" s="6" t="s">
        <v>14</v>
      </c>
      <c r="B38" s="130">
        <v>2208341.75</v>
      </c>
      <c r="C38" s="131">
        <v>1</v>
      </c>
      <c r="D38" s="64">
        <f>B38/$B$40</f>
        <v>4.8442294165188671E-4</v>
      </c>
      <c r="E38" s="173"/>
      <c r="F38" s="67"/>
      <c r="G38" s="186"/>
      <c r="H38" s="299"/>
      <c r="I38" s="67"/>
      <c r="J38" s="67"/>
      <c r="K38" s="67"/>
      <c r="L38" s="67"/>
      <c r="M38" s="67"/>
    </row>
    <row r="39" spans="1:14" ht="15" thickBot="1" x14ac:dyDescent="0.4">
      <c r="A39" s="4" t="s">
        <v>15</v>
      </c>
      <c r="B39" s="132">
        <v>21314004.120000001</v>
      </c>
      <c r="C39" s="287">
        <v>7</v>
      </c>
      <c r="D39" s="65">
        <f>B39/$B$40</f>
        <v>4.6754505158410524E-3</v>
      </c>
      <c r="E39" s="173"/>
      <c r="F39" s="67"/>
      <c r="G39" s="304"/>
      <c r="H39" s="301"/>
      <c r="I39" s="67"/>
      <c r="J39" s="67"/>
      <c r="K39" s="67"/>
      <c r="L39" s="67"/>
      <c r="M39" s="67"/>
    </row>
    <row r="40" spans="1:14" ht="15" thickTop="1" x14ac:dyDescent="0.35">
      <c r="A40" s="1" t="s">
        <v>1</v>
      </c>
      <c r="B40" s="18">
        <f>SUM(B28:B39)</f>
        <v>4558705957.3800001</v>
      </c>
      <c r="C40" s="133">
        <f>SUM(C28:C39)</f>
        <v>4153</v>
      </c>
      <c r="D40" s="300">
        <f>SUM(D28:D39)</f>
        <v>0.99999999999999989</v>
      </c>
      <c r="E40" s="173"/>
    </row>
    <row r="43" spans="1:14" x14ac:dyDescent="0.3">
      <c r="A43" s="164" t="s">
        <v>87</v>
      </c>
      <c r="B43" s="164"/>
      <c r="C43" s="164"/>
      <c r="D43" s="293"/>
      <c r="E43" s="293"/>
      <c r="F43" s="293"/>
      <c r="G43" s="293"/>
      <c r="H43" s="293"/>
      <c r="I43" s="293"/>
      <c r="J43" s="293"/>
      <c r="K43" s="164"/>
      <c r="L43" s="164"/>
      <c r="M43" s="164"/>
      <c r="N43" s="164"/>
    </row>
    <row r="44" spans="1:14" s="68" customFormat="1" x14ac:dyDescent="0.3">
      <c r="A44" s="107"/>
      <c r="B44" s="155" t="s">
        <v>1</v>
      </c>
      <c r="C44" s="158" t="s">
        <v>18</v>
      </c>
      <c r="D44" s="281" t="s">
        <v>19</v>
      </c>
      <c r="E44" s="281" t="s">
        <v>20</v>
      </c>
      <c r="F44" s="281" t="s">
        <v>21</v>
      </c>
      <c r="G44" s="281" t="s">
        <v>138</v>
      </c>
      <c r="H44" s="281" t="s">
        <v>139</v>
      </c>
      <c r="I44" s="281" t="s">
        <v>22</v>
      </c>
      <c r="J44" s="281" t="s">
        <v>23</v>
      </c>
      <c r="K44" s="313" t="s">
        <v>24</v>
      </c>
      <c r="L44" s="281" t="s">
        <v>25</v>
      </c>
      <c r="M44" s="159" t="s">
        <v>26</v>
      </c>
      <c r="N44" s="160" t="s">
        <v>27</v>
      </c>
    </row>
    <row r="45" spans="1:14" x14ac:dyDescent="0.3">
      <c r="A45" s="153" t="s">
        <v>28</v>
      </c>
      <c r="B45" s="288">
        <f t="shared" ref="B45:B63" si="1">SUM(C45:N45)</f>
        <v>150535848.00999999</v>
      </c>
      <c r="C45" s="294">
        <v>35261611.490000002</v>
      </c>
      <c r="D45" s="294">
        <v>41193255.700000003</v>
      </c>
      <c r="E45" s="294">
        <v>27832055.109999999</v>
      </c>
      <c r="F45" s="294">
        <v>26996361.710000001</v>
      </c>
      <c r="G45" s="294">
        <v>11504404</v>
      </c>
      <c r="H45" s="294">
        <v>7748160</v>
      </c>
      <c r="I45" s="294">
        <v>0</v>
      </c>
      <c r="J45" s="294">
        <v>0</v>
      </c>
      <c r="K45" s="314">
        <v>0</v>
      </c>
      <c r="L45" s="291">
        <v>0</v>
      </c>
      <c r="M45" s="291">
        <v>0</v>
      </c>
      <c r="N45" s="161">
        <v>0</v>
      </c>
    </row>
    <row r="46" spans="1:14" x14ac:dyDescent="0.3">
      <c r="A46" s="154" t="s">
        <v>29</v>
      </c>
      <c r="B46" s="282">
        <f>SUM(C46:N46)</f>
        <v>154771109.60999998</v>
      </c>
      <c r="C46" s="285">
        <v>24620787.269999996</v>
      </c>
      <c r="D46" s="285">
        <v>33914587.159999996</v>
      </c>
      <c r="E46" s="285">
        <v>37052703.640000001</v>
      </c>
      <c r="F46" s="285">
        <v>34391713.259999998</v>
      </c>
      <c r="G46" s="285">
        <v>16148966.310000001</v>
      </c>
      <c r="H46" s="285">
        <v>8642351.9700000007</v>
      </c>
      <c r="I46" s="285">
        <v>0</v>
      </c>
      <c r="J46" s="285">
        <v>0</v>
      </c>
      <c r="K46" s="314">
        <v>0</v>
      </c>
      <c r="L46" s="283">
        <v>0</v>
      </c>
      <c r="M46" s="283">
        <v>0</v>
      </c>
      <c r="N46" s="162">
        <v>0</v>
      </c>
    </row>
    <row r="47" spans="1:14" x14ac:dyDescent="0.3">
      <c r="A47" s="154" t="s">
        <v>30</v>
      </c>
      <c r="B47" s="282">
        <f t="shared" si="1"/>
        <v>15147191</v>
      </c>
      <c r="C47" s="285">
        <v>4490161</v>
      </c>
      <c r="D47" s="285">
        <v>3729319</v>
      </c>
      <c r="E47" s="285">
        <v>659609</v>
      </c>
      <c r="F47" s="285">
        <v>4869618</v>
      </c>
      <c r="G47" s="285">
        <v>1398484</v>
      </c>
      <c r="H47" s="285">
        <v>0</v>
      </c>
      <c r="I47" s="285">
        <v>0</v>
      </c>
      <c r="J47" s="285">
        <v>0</v>
      </c>
      <c r="K47" s="314">
        <v>0</v>
      </c>
      <c r="L47" s="283">
        <v>0</v>
      </c>
      <c r="M47" s="283">
        <v>0</v>
      </c>
      <c r="N47" s="162">
        <v>0</v>
      </c>
    </row>
    <row r="48" spans="1:14" x14ac:dyDescent="0.3">
      <c r="A48" s="154" t="s">
        <v>142</v>
      </c>
      <c r="B48" s="282">
        <f t="shared" si="1"/>
        <v>1500000</v>
      </c>
      <c r="C48" s="285">
        <v>0</v>
      </c>
      <c r="D48" s="285">
        <v>0</v>
      </c>
      <c r="E48" s="285">
        <v>0</v>
      </c>
      <c r="F48" s="285">
        <v>0</v>
      </c>
      <c r="G48" s="285">
        <v>1500000</v>
      </c>
      <c r="H48" s="285">
        <v>0</v>
      </c>
      <c r="I48" s="285">
        <v>0</v>
      </c>
      <c r="J48" s="285">
        <v>0</v>
      </c>
      <c r="K48" s="314">
        <v>0</v>
      </c>
      <c r="L48" s="283">
        <v>0</v>
      </c>
      <c r="M48" s="283">
        <v>0</v>
      </c>
      <c r="N48" s="162">
        <v>0</v>
      </c>
    </row>
    <row r="49" spans="1:14" x14ac:dyDescent="0.3">
      <c r="A49" s="154" t="s">
        <v>31</v>
      </c>
      <c r="B49" s="282">
        <f t="shared" si="1"/>
        <v>2866693</v>
      </c>
      <c r="C49" s="285">
        <v>0</v>
      </c>
      <c r="D49" s="285">
        <v>0</v>
      </c>
      <c r="E49" s="285">
        <v>0</v>
      </c>
      <c r="F49" s="285">
        <v>688790</v>
      </c>
      <c r="G49" s="285">
        <v>2177903</v>
      </c>
      <c r="H49" s="285">
        <v>0</v>
      </c>
      <c r="I49" s="285">
        <v>0</v>
      </c>
      <c r="J49" s="285">
        <v>0</v>
      </c>
      <c r="K49" s="314">
        <v>0</v>
      </c>
      <c r="L49" s="283">
        <v>0</v>
      </c>
      <c r="M49" s="283">
        <v>0</v>
      </c>
      <c r="N49" s="162">
        <v>0</v>
      </c>
    </row>
    <row r="50" spans="1:14" x14ac:dyDescent="0.3">
      <c r="A50" s="154" t="s">
        <v>32</v>
      </c>
      <c r="B50" s="282">
        <f t="shared" si="1"/>
        <v>391207767.10999995</v>
      </c>
      <c r="C50" s="285">
        <v>108174324.05999996</v>
      </c>
      <c r="D50" s="285">
        <v>46954090.189999998</v>
      </c>
      <c r="E50" s="285">
        <v>95582576.680000022</v>
      </c>
      <c r="F50" s="285">
        <v>94574843.430000007</v>
      </c>
      <c r="G50" s="285">
        <v>24078948.02</v>
      </c>
      <c r="H50" s="285">
        <v>17551339.98</v>
      </c>
      <c r="I50" s="285">
        <v>0</v>
      </c>
      <c r="J50" s="285">
        <v>0</v>
      </c>
      <c r="K50" s="285">
        <v>2083303</v>
      </c>
      <c r="L50" s="283">
        <v>0</v>
      </c>
      <c r="M50" s="283">
        <v>2208341.75</v>
      </c>
      <c r="N50" s="162">
        <v>0</v>
      </c>
    </row>
    <row r="51" spans="1:14" x14ac:dyDescent="0.3">
      <c r="A51" s="154" t="s">
        <v>143</v>
      </c>
      <c r="B51" s="282">
        <f t="shared" si="1"/>
        <v>9285785</v>
      </c>
      <c r="C51" s="285">
        <v>2120030</v>
      </c>
      <c r="D51" s="285">
        <v>0</v>
      </c>
      <c r="E51" s="285">
        <v>1493858</v>
      </c>
      <c r="F51" s="285">
        <v>4306897</v>
      </c>
      <c r="G51" s="285">
        <v>1365000</v>
      </c>
      <c r="H51" s="285">
        <v>0</v>
      </c>
      <c r="I51" s="285">
        <v>0</v>
      </c>
      <c r="J51" s="285">
        <v>0</v>
      </c>
      <c r="K51" s="314">
        <v>0</v>
      </c>
      <c r="L51" s="283">
        <v>0</v>
      </c>
      <c r="M51" s="283">
        <v>0</v>
      </c>
      <c r="N51" s="162">
        <v>0</v>
      </c>
    </row>
    <row r="52" spans="1:14" x14ac:dyDescent="0.3">
      <c r="A52" s="154" t="s">
        <v>33</v>
      </c>
      <c r="B52" s="282">
        <f t="shared" si="1"/>
        <v>1397610.73</v>
      </c>
      <c r="C52" s="285">
        <v>1397610.73</v>
      </c>
      <c r="D52" s="285">
        <v>0</v>
      </c>
      <c r="E52" s="285">
        <v>0</v>
      </c>
      <c r="F52" s="285">
        <v>0</v>
      </c>
      <c r="G52" s="285">
        <v>0</v>
      </c>
      <c r="H52" s="285">
        <v>0</v>
      </c>
      <c r="I52" s="285">
        <v>0</v>
      </c>
      <c r="J52" s="285">
        <v>0</v>
      </c>
      <c r="K52" s="314">
        <v>0</v>
      </c>
      <c r="L52" s="283">
        <v>0</v>
      </c>
      <c r="M52" s="283">
        <v>0</v>
      </c>
      <c r="N52" s="162">
        <v>0</v>
      </c>
    </row>
    <row r="53" spans="1:14" x14ac:dyDescent="0.3">
      <c r="A53" s="154" t="s">
        <v>34</v>
      </c>
      <c r="B53" s="282">
        <f t="shared" si="1"/>
        <v>4902873</v>
      </c>
      <c r="C53" s="285">
        <v>1327808</v>
      </c>
      <c r="D53" s="285">
        <v>1342711</v>
      </c>
      <c r="E53" s="285">
        <v>0</v>
      </c>
      <c r="F53" s="285">
        <v>2232354</v>
      </c>
      <c r="G53" s="285">
        <v>0</v>
      </c>
      <c r="H53" s="285">
        <v>0</v>
      </c>
      <c r="I53" s="285">
        <v>0</v>
      </c>
      <c r="J53" s="285">
        <v>0</v>
      </c>
      <c r="K53" s="314">
        <v>0</v>
      </c>
      <c r="L53" s="283">
        <v>0</v>
      </c>
      <c r="M53" s="283">
        <v>0</v>
      </c>
      <c r="N53" s="162">
        <v>0</v>
      </c>
    </row>
    <row r="54" spans="1:14" x14ac:dyDescent="0.3">
      <c r="A54" s="154" t="s">
        <v>35</v>
      </c>
      <c r="B54" s="282">
        <f t="shared" si="1"/>
        <v>171332894.56</v>
      </c>
      <c r="C54" s="285">
        <v>39440422.219999999</v>
      </c>
      <c r="D54" s="285">
        <v>28715415.98</v>
      </c>
      <c r="E54" s="285">
        <v>50012682.590000004</v>
      </c>
      <c r="F54" s="285">
        <v>24694134.77</v>
      </c>
      <c r="G54" s="285">
        <v>20898854</v>
      </c>
      <c r="H54" s="285">
        <v>5245194</v>
      </c>
      <c r="I54" s="285">
        <v>2326191</v>
      </c>
      <c r="J54" s="285">
        <v>0</v>
      </c>
      <c r="K54" s="314">
        <v>0</v>
      </c>
      <c r="L54" s="283">
        <v>0</v>
      </c>
      <c r="M54" s="283">
        <v>0</v>
      </c>
      <c r="N54" s="162">
        <v>0</v>
      </c>
    </row>
    <row r="55" spans="1:14" x14ac:dyDescent="0.3">
      <c r="A55" s="154" t="s">
        <v>36</v>
      </c>
      <c r="B55" s="282">
        <f t="shared" si="1"/>
        <v>2262313736.3800001</v>
      </c>
      <c r="C55" s="285">
        <v>625634185.48000002</v>
      </c>
      <c r="D55" s="285">
        <v>383261259.02000016</v>
      </c>
      <c r="E55" s="285">
        <v>442843263.5800001</v>
      </c>
      <c r="F55" s="285">
        <v>489700183.53000003</v>
      </c>
      <c r="G55" s="285">
        <v>200418450.95999998</v>
      </c>
      <c r="H55" s="285">
        <v>94984297.989999995</v>
      </c>
      <c r="I55" s="285">
        <v>8315736.4700000007</v>
      </c>
      <c r="J55" s="285">
        <v>0</v>
      </c>
      <c r="K55" s="314">
        <v>0</v>
      </c>
      <c r="L55" s="283">
        <v>0</v>
      </c>
      <c r="M55" s="283">
        <v>0</v>
      </c>
      <c r="N55" s="162">
        <v>17156359.350000001</v>
      </c>
    </row>
    <row r="56" spans="1:14" x14ac:dyDescent="0.3">
      <c r="A56" s="154" t="s">
        <v>37</v>
      </c>
      <c r="B56" s="282">
        <f t="shared" si="1"/>
        <v>114922217.32000001</v>
      </c>
      <c r="C56" s="285">
        <v>37859780.600000001</v>
      </c>
      <c r="D56" s="285">
        <v>21406128.670000002</v>
      </c>
      <c r="E56" s="285">
        <v>30113201.719999999</v>
      </c>
      <c r="F56" s="285">
        <v>19419714</v>
      </c>
      <c r="G56" s="285">
        <v>6123392.3300000001</v>
      </c>
      <c r="H56" s="285">
        <v>0</v>
      </c>
      <c r="I56" s="285">
        <v>0</v>
      </c>
      <c r="J56" s="285">
        <v>0</v>
      </c>
      <c r="K56" s="314">
        <v>0</v>
      </c>
      <c r="L56" s="283">
        <v>0</v>
      </c>
      <c r="M56" s="283">
        <v>0</v>
      </c>
      <c r="N56" s="162">
        <v>0</v>
      </c>
    </row>
    <row r="57" spans="1:14" x14ac:dyDescent="0.3">
      <c r="A57" s="154" t="s">
        <v>144</v>
      </c>
      <c r="B57" s="282">
        <f t="shared" si="1"/>
        <v>6825460</v>
      </c>
      <c r="C57" s="285">
        <v>3482592</v>
      </c>
      <c r="D57" s="285">
        <v>0</v>
      </c>
      <c r="E57" s="285">
        <v>0</v>
      </c>
      <c r="F57" s="285">
        <v>1860399</v>
      </c>
      <c r="G57" s="285">
        <v>1482469</v>
      </c>
      <c r="H57" s="285">
        <v>0</v>
      </c>
      <c r="I57" s="285">
        <v>0</v>
      </c>
      <c r="J57" s="285">
        <v>0</v>
      </c>
      <c r="K57" s="314">
        <v>0</v>
      </c>
      <c r="L57" s="283">
        <v>0</v>
      </c>
      <c r="M57" s="283">
        <v>0</v>
      </c>
      <c r="N57" s="162">
        <v>0</v>
      </c>
    </row>
    <row r="58" spans="1:14" x14ac:dyDescent="0.3">
      <c r="A58" s="154" t="s">
        <v>38</v>
      </c>
      <c r="B58" s="282">
        <f t="shared" si="1"/>
        <v>8522737.8399999999</v>
      </c>
      <c r="C58" s="285">
        <v>5906682.8399999999</v>
      </c>
      <c r="D58" s="285">
        <v>1055063</v>
      </c>
      <c r="E58" s="285">
        <v>0</v>
      </c>
      <c r="F58" s="285">
        <v>1560992</v>
      </c>
      <c r="G58" s="285">
        <v>0</v>
      </c>
      <c r="H58" s="285">
        <v>0</v>
      </c>
      <c r="I58" s="285">
        <v>0</v>
      </c>
      <c r="J58" s="285">
        <v>0</v>
      </c>
      <c r="K58" s="314">
        <v>0</v>
      </c>
      <c r="L58" s="283">
        <v>0</v>
      </c>
      <c r="M58" s="283">
        <v>0</v>
      </c>
      <c r="N58" s="162">
        <v>0</v>
      </c>
    </row>
    <row r="59" spans="1:14" x14ac:dyDescent="0.3">
      <c r="A59" s="154" t="s">
        <v>39</v>
      </c>
      <c r="B59" s="282">
        <f t="shared" si="1"/>
        <v>2283057</v>
      </c>
      <c r="C59" s="285">
        <v>955682</v>
      </c>
      <c r="D59" s="285">
        <v>1327375</v>
      </c>
      <c r="E59" s="285">
        <v>0</v>
      </c>
      <c r="F59" s="285">
        <v>0</v>
      </c>
      <c r="G59" s="285">
        <v>0</v>
      </c>
      <c r="H59" s="285">
        <v>0</v>
      </c>
      <c r="I59" s="285">
        <v>0</v>
      </c>
      <c r="J59" s="285">
        <v>0</v>
      </c>
      <c r="K59" s="314">
        <v>0</v>
      </c>
      <c r="L59" s="283">
        <v>0</v>
      </c>
      <c r="M59" s="283">
        <v>0</v>
      </c>
      <c r="N59" s="162">
        <v>0</v>
      </c>
    </row>
    <row r="60" spans="1:14" x14ac:dyDescent="0.3">
      <c r="A60" s="154" t="s">
        <v>40</v>
      </c>
      <c r="B60" s="282">
        <f t="shared" si="1"/>
        <v>1223378713.3100002</v>
      </c>
      <c r="C60" s="285">
        <v>320682894.48000002</v>
      </c>
      <c r="D60" s="285">
        <v>199773265.74999997</v>
      </c>
      <c r="E60" s="285">
        <v>214624363.21000001</v>
      </c>
      <c r="F60" s="285">
        <v>257857645.31000006</v>
      </c>
      <c r="G60" s="285">
        <v>122219270.56999999</v>
      </c>
      <c r="H60" s="285">
        <v>88951764.220000014</v>
      </c>
      <c r="I60" s="285">
        <v>13287785</v>
      </c>
      <c r="J60" s="285">
        <v>0</v>
      </c>
      <c r="K60" s="285">
        <v>1824080</v>
      </c>
      <c r="L60" s="283">
        <v>0</v>
      </c>
      <c r="M60" s="283">
        <v>0</v>
      </c>
      <c r="N60" s="162">
        <v>4157644.77</v>
      </c>
    </row>
    <row r="61" spans="1:14" x14ac:dyDescent="0.3">
      <c r="A61" s="154" t="s">
        <v>41</v>
      </c>
      <c r="B61" s="282">
        <f t="shared" si="1"/>
        <v>23577290.590000004</v>
      </c>
      <c r="C61" s="285">
        <v>4536854</v>
      </c>
      <c r="D61" s="285">
        <v>2410440</v>
      </c>
      <c r="E61" s="285">
        <v>6657583.120000001</v>
      </c>
      <c r="F61" s="285">
        <v>9972413.4700000007</v>
      </c>
      <c r="G61" s="285">
        <v>0</v>
      </c>
      <c r="H61" s="285">
        <v>0</v>
      </c>
      <c r="I61" s="285">
        <v>0</v>
      </c>
      <c r="J61" s="285">
        <v>0</v>
      </c>
      <c r="K61" s="314">
        <v>0</v>
      </c>
      <c r="L61" s="283">
        <v>0</v>
      </c>
      <c r="M61" s="283">
        <v>0</v>
      </c>
      <c r="N61" s="162">
        <v>0</v>
      </c>
    </row>
    <row r="62" spans="1:14" x14ac:dyDescent="0.3">
      <c r="A62" s="154" t="s">
        <v>145</v>
      </c>
      <c r="B62" s="282">
        <f t="shared" si="1"/>
        <v>13934972.92</v>
      </c>
      <c r="C62" s="285">
        <v>1937250.92</v>
      </c>
      <c r="D62" s="285">
        <v>1704818</v>
      </c>
      <c r="E62" s="285">
        <v>1704773</v>
      </c>
      <c r="F62" s="285">
        <v>3600754</v>
      </c>
      <c r="G62" s="285">
        <v>4987377</v>
      </c>
      <c r="H62" s="285">
        <v>0</v>
      </c>
      <c r="I62" s="285">
        <v>0</v>
      </c>
      <c r="J62" s="285">
        <v>0</v>
      </c>
      <c r="K62" s="314">
        <v>0</v>
      </c>
      <c r="L62" s="283">
        <v>0</v>
      </c>
      <c r="M62" s="283">
        <v>0</v>
      </c>
      <c r="N62" s="162">
        <v>0</v>
      </c>
    </row>
    <row r="63" spans="1:14" ht="14" thickBot="1" x14ac:dyDescent="0.35">
      <c r="A63" s="154" t="s">
        <v>165</v>
      </c>
      <c r="B63" s="289">
        <f t="shared" si="1"/>
        <v>0</v>
      </c>
      <c r="C63" s="284">
        <v>0</v>
      </c>
      <c r="D63" s="168">
        <v>0</v>
      </c>
      <c r="E63" s="168">
        <v>0</v>
      </c>
      <c r="F63" s="168">
        <v>0</v>
      </c>
      <c r="G63" s="168">
        <v>0</v>
      </c>
      <c r="H63" s="168">
        <v>0</v>
      </c>
      <c r="I63" s="168">
        <v>0</v>
      </c>
      <c r="J63" s="168">
        <v>0</v>
      </c>
      <c r="K63" s="315">
        <v>0</v>
      </c>
      <c r="L63" s="292">
        <v>0</v>
      </c>
      <c r="M63" s="292">
        <v>0</v>
      </c>
      <c r="N63" s="168">
        <v>0</v>
      </c>
    </row>
    <row r="64" spans="1:14" ht="14" thickTop="1" x14ac:dyDescent="0.3">
      <c r="A64" s="45" t="s">
        <v>1</v>
      </c>
      <c r="B64" s="20">
        <f>SUM(C64:N64)</f>
        <v>4558705957.3800011</v>
      </c>
      <c r="C64" s="20">
        <f t="shared" ref="C64:M64" si="2">SUM(C45:C63)</f>
        <v>1217828677.0900002</v>
      </c>
      <c r="D64" s="20">
        <f t="shared" si="2"/>
        <v>766787728.47000015</v>
      </c>
      <c r="E64" s="20">
        <f t="shared" si="2"/>
        <v>908576669.65000021</v>
      </c>
      <c r="F64" s="20">
        <f t="shared" si="2"/>
        <v>976726813.48000014</v>
      </c>
      <c r="G64" s="20">
        <f t="shared" si="2"/>
        <v>414303519.18999994</v>
      </c>
      <c r="H64" s="20">
        <f t="shared" si="2"/>
        <v>223123108.16000003</v>
      </c>
      <c r="I64" s="24">
        <f t="shared" si="2"/>
        <v>23929712.469999999</v>
      </c>
      <c r="J64" s="24">
        <f t="shared" si="2"/>
        <v>0</v>
      </c>
      <c r="K64" s="24">
        <f t="shared" si="2"/>
        <v>3907383</v>
      </c>
      <c r="L64" s="24">
        <f t="shared" si="2"/>
        <v>0</v>
      </c>
      <c r="M64" s="24">
        <f t="shared" si="2"/>
        <v>2208341.75</v>
      </c>
      <c r="N64" s="24">
        <f>SUM(N45:N63)</f>
        <v>21314004.120000001</v>
      </c>
    </row>
    <row r="65" spans="1:15" x14ac:dyDescent="0.3">
      <c r="A65" s="37"/>
      <c r="B65" s="38"/>
      <c r="C65" s="38"/>
      <c r="D65" s="38"/>
      <c r="E65" s="38"/>
      <c r="F65" s="38"/>
      <c r="G65" s="38"/>
      <c r="H65" s="38"/>
      <c r="I65" s="39"/>
      <c r="J65" s="39"/>
      <c r="K65" s="39"/>
      <c r="L65" s="39"/>
      <c r="M65" s="39"/>
      <c r="N65" s="39"/>
    </row>
    <row r="66" spans="1:15" x14ac:dyDescent="0.3">
      <c r="A66" s="37"/>
      <c r="B66" s="38"/>
      <c r="C66" s="38"/>
      <c r="D66" s="38"/>
      <c r="E66" s="38"/>
      <c r="F66" s="38"/>
      <c r="G66" s="38"/>
      <c r="H66" s="38"/>
      <c r="I66" s="39"/>
      <c r="J66" s="39"/>
      <c r="K66" s="39"/>
      <c r="L66" s="39"/>
      <c r="M66" s="39"/>
      <c r="N66" s="39"/>
    </row>
    <row r="68" spans="1:15" x14ac:dyDescent="0.3">
      <c r="A68" s="164" t="s">
        <v>88</v>
      </c>
      <c r="B68" s="164"/>
      <c r="C68" s="164"/>
      <c r="D68" s="164"/>
      <c r="E68" s="164"/>
      <c r="F68" s="164"/>
      <c r="G68" s="164"/>
      <c r="H68" s="164"/>
      <c r="I68" s="164"/>
      <c r="J68" s="164"/>
      <c r="K68" s="164"/>
      <c r="L68" s="164"/>
      <c r="M68" s="164"/>
      <c r="N68" s="164"/>
    </row>
    <row r="69" spans="1:15" s="69" customFormat="1" x14ac:dyDescent="0.3">
      <c r="A69" s="108"/>
      <c r="B69" s="109" t="s">
        <v>1</v>
      </c>
      <c r="C69" s="110" t="s">
        <v>18</v>
      </c>
      <c r="D69" s="110" t="s">
        <v>19</v>
      </c>
      <c r="E69" s="111" t="s">
        <v>20</v>
      </c>
      <c r="F69" s="112" t="s">
        <v>21</v>
      </c>
      <c r="G69" s="159" t="s">
        <v>138</v>
      </c>
      <c r="H69" s="159" t="s">
        <v>139</v>
      </c>
      <c r="I69" s="112" t="s">
        <v>22</v>
      </c>
      <c r="J69" s="112" t="s">
        <v>23</v>
      </c>
      <c r="K69" s="112" t="s">
        <v>24</v>
      </c>
      <c r="L69" s="112" t="s">
        <v>25</v>
      </c>
      <c r="M69" s="112" t="s">
        <v>26</v>
      </c>
      <c r="N69" s="110" t="s">
        <v>27</v>
      </c>
    </row>
    <row r="70" spans="1:15" x14ac:dyDescent="0.3">
      <c r="A70" s="12"/>
      <c r="B70" s="11"/>
      <c r="C70" s="13"/>
      <c r="D70" s="13"/>
      <c r="E70" s="17"/>
      <c r="F70" s="13"/>
      <c r="G70" s="13"/>
      <c r="H70" s="13"/>
      <c r="I70" s="13"/>
      <c r="J70" s="13"/>
      <c r="K70" s="13"/>
      <c r="L70" s="13"/>
      <c r="M70" s="13"/>
      <c r="N70" s="13"/>
    </row>
    <row r="71" spans="1:15" ht="27" x14ac:dyDescent="0.3">
      <c r="A71" s="16" t="s">
        <v>42</v>
      </c>
      <c r="B71" s="25" t="s">
        <v>4</v>
      </c>
      <c r="C71" s="15" t="s">
        <v>4</v>
      </c>
      <c r="D71" s="15" t="s">
        <v>4</v>
      </c>
      <c r="E71" s="14" t="s">
        <v>4</v>
      </c>
      <c r="F71" s="15" t="s">
        <v>4</v>
      </c>
      <c r="G71" s="15" t="s">
        <v>4</v>
      </c>
      <c r="H71" s="15" t="s">
        <v>4</v>
      </c>
      <c r="I71" s="15" t="s">
        <v>4</v>
      </c>
      <c r="J71" s="15" t="s">
        <v>4</v>
      </c>
      <c r="K71" s="15" t="s">
        <v>4</v>
      </c>
      <c r="L71" s="15" t="s">
        <v>4</v>
      </c>
      <c r="M71" s="15" t="s">
        <v>4</v>
      </c>
      <c r="N71" s="15" t="s">
        <v>4</v>
      </c>
    </row>
    <row r="72" spans="1:15" x14ac:dyDescent="0.3">
      <c r="A72" s="41" t="s">
        <v>182</v>
      </c>
      <c r="B72" s="137">
        <v>4558705957.3800011</v>
      </c>
      <c r="C72" s="137">
        <v>1217828677.0900002</v>
      </c>
      <c r="D72" s="137">
        <v>766787728.47000015</v>
      </c>
      <c r="E72" s="137">
        <v>908576669.65000021</v>
      </c>
      <c r="F72" s="137">
        <v>976726813.48000014</v>
      </c>
      <c r="G72" s="137">
        <v>414303519.18999994</v>
      </c>
      <c r="H72" s="137">
        <v>223123108.16000003</v>
      </c>
      <c r="I72" s="50">
        <v>23929712.469999999</v>
      </c>
      <c r="J72" s="50">
        <v>0</v>
      </c>
      <c r="K72" s="50">
        <v>3907383</v>
      </c>
      <c r="L72" s="50">
        <v>0</v>
      </c>
      <c r="M72" s="50">
        <v>2208341.75</v>
      </c>
      <c r="N72" s="50">
        <v>21314004.120000001</v>
      </c>
    </row>
    <row r="73" spans="1:15" x14ac:dyDescent="0.3">
      <c r="A73" s="49" t="s">
        <v>183</v>
      </c>
      <c r="B73" s="51"/>
      <c r="C73" s="33"/>
      <c r="D73" s="33"/>
      <c r="E73" s="33"/>
      <c r="F73" s="33"/>
      <c r="G73" s="33"/>
      <c r="H73" s="33"/>
      <c r="I73" s="27"/>
      <c r="J73" s="27"/>
      <c r="K73" s="27"/>
      <c r="L73" s="27"/>
      <c r="M73" s="27"/>
      <c r="N73" s="27"/>
      <c r="O73" s="70"/>
    </row>
    <row r="74" spans="1:15" x14ac:dyDescent="0.3">
      <c r="A74" s="42" t="s">
        <v>184</v>
      </c>
      <c r="B74" s="21"/>
      <c r="C74" s="31"/>
      <c r="D74" s="31"/>
      <c r="E74" s="32"/>
      <c r="F74" s="33"/>
      <c r="G74" s="33"/>
      <c r="H74" s="33"/>
      <c r="I74" s="27"/>
      <c r="J74" s="27"/>
      <c r="K74" s="27"/>
      <c r="L74" s="27"/>
      <c r="M74" s="27"/>
      <c r="N74" s="28"/>
    </row>
    <row r="75" spans="1:15" ht="14" thickBot="1" x14ac:dyDescent="0.35">
      <c r="A75" s="42" t="s">
        <v>185</v>
      </c>
      <c r="B75" s="21"/>
      <c r="C75" s="31"/>
      <c r="D75" s="31"/>
      <c r="E75" s="32"/>
      <c r="F75" s="33"/>
      <c r="G75" s="33"/>
      <c r="H75" s="33"/>
      <c r="I75" s="27"/>
      <c r="J75" s="27"/>
      <c r="K75" s="27"/>
      <c r="L75" s="27"/>
      <c r="M75" s="27"/>
      <c r="N75" s="28"/>
    </row>
    <row r="76" spans="1:15" ht="14" thickTop="1" x14ac:dyDescent="0.3">
      <c r="A76" s="44" t="s">
        <v>1</v>
      </c>
      <c r="B76" s="22">
        <f t="shared" ref="B76:N76" si="3">SUM(B72:B75)</f>
        <v>4558705957.3800011</v>
      </c>
      <c r="C76" s="22">
        <f t="shared" si="3"/>
        <v>1217828677.0900002</v>
      </c>
      <c r="D76" s="22">
        <f t="shared" si="3"/>
        <v>766787728.47000015</v>
      </c>
      <c r="E76" s="22">
        <f t="shared" si="3"/>
        <v>908576669.65000021</v>
      </c>
      <c r="F76" s="22">
        <f t="shared" si="3"/>
        <v>976726813.48000014</v>
      </c>
      <c r="G76" s="22">
        <f t="shared" si="3"/>
        <v>414303519.18999994</v>
      </c>
      <c r="H76" s="22">
        <f t="shared" si="3"/>
        <v>223123108.16000003</v>
      </c>
      <c r="I76" s="22">
        <f t="shared" si="3"/>
        <v>23929712.469999999</v>
      </c>
      <c r="J76" s="22">
        <f t="shared" si="3"/>
        <v>0</v>
      </c>
      <c r="K76" s="22">
        <f t="shared" si="3"/>
        <v>3907383</v>
      </c>
      <c r="L76" s="22">
        <f t="shared" si="3"/>
        <v>0</v>
      </c>
      <c r="M76" s="22">
        <f t="shared" si="3"/>
        <v>2208341.75</v>
      </c>
      <c r="N76" s="23">
        <f t="shared" si="3"/>
        <v>21314004.120000001</v>
      </c>
    </row>
    <row r="77" spans="1:15" x14ac:dyDescent="0.3">
      <c r="A77" s="26"/>
      <c r="B77" s="40"/>
      <c r="C77" s="40"/>
      <c r="D77" s="40"/>
      <c r="E77" s="40"/>
      <c r="F77" s="40"/>
      <c r="G77" s="40"/>
      <c r="H77" s="40"/>
      <c r="I77" s="40"/>
      <c r="J77" s="40"/>
      <c r="K77" s="40"/>
      <c r="L77" s="40"/>
      <c r="M77" s="40"/>
      <c r="N77" s="40"/>
    </row>
    <row r="79" spans="1:15" x14ac:dyDescent="0.3">
      <c r="A79" s="164" t="s">
        <v>89</v>
      </c>
      <c r="B79" s="164"/>
      <c r="C79" s="164"/>
      <c r="D79" s="164"/>
      <c r="E79" s="164"/>
      <c r="F79" s="164"/>
      <c r="G79" s="164"/>
      <c r="H79" s="164"/>
      <c r="I79" s="164"/>
      <c r="J79" s="164"/>
      <c r="K79" s="164"/>
      <c r="L79" s="164"/>
      <c r="M79" s="164"/>
      <c r="N79" s="164"/>
    </row>
    <row r="80" spans="1:15"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row>
    <row r="81" spans="1:16" x14ac:dyDescent="0.3">
      <c r="A81" s="46"/>
      <c r="B81" s="11"/>
      <c r="C81" s="13"/>
      <c r="D81" s="13"/>
      <c r="E81" s="17"/>
      <c r="F81" s="13"/>
      <c r="G81" s="13"/>
      <c r="H81" s="13"/>
      <c r="I81" s="13"/>
      <c r="J81" s="13"/>
      <c r="K81" s="13"/>
      <c r="L81" s="13"/>
      <c r="M81" s="13"/>
      <c r="N81" s="13"/>
      <c r="O81" s="69"/>
      <c r="P81" s="69"/>
    </row>
    <row r="82" spans="1:16" ht="27" x14ac:dyDescent="0.3">
      <c r="A82" s="47" t="s">
        <v>42</v>
      </c>
      <c r="B82" s="25" t="s">
        <v>4</v>
      </c>
      <c r="C82" s="15" t="s">
        <v>4</v>
      </c>
      <c r="D82" s="15" t="s">
        <v>4</v>
      </c>
      <c r="E82" s="14" t="s">
        <v>4</v>
      </c>
      <c r="F82" s="15" t="s">
        <v>4</v>
      </c>
      <c r="G82" s="15" t="s">
        <v>4</v>
      </c>
      <c r="H82" s="15" t="s">
        <v>4</v>
      </c>
      <c r="I82" s="15" t="s">
        <v>4</v>
      </c>
      <c r="J82" s="15" t="s">
        <v>4</v>
      </c>
      <c r="K82" s="15" t="s">
        <v>4</v>
      </c>
      <c r="L82" s="15" t="s">
        <v>4</v>
      </c>
      <c r="M82" s="15" t="s">
        <v>4</v>
      </c>
      <c r="N82" s="15" t="s">
        <v>4</v>
      </c>
    </row>
    <row r="83" spans="1:16" x14ac:dyDescent="0.3">
      <c r="A83" s="42" t="s">
        <v>62</v>
      </c>
      <c r="B83" s="71">
        <f>SUM(C83:N83)</f>
        <v>747416948.18999994</v>
      </c>
      <c r="C83" s="72">
        <v>148770114.04999998</v>
      </c>
      <c r="D83" s="73">
        <v>114252801.05000001</v>
      </c>
      <c r="E83" s="73">
        <v>159088202.26999998</v>
      </c>
      <c r="F83" s="73">
        <v>173318150.66999999</v>
      </c>
      <c r="G83" s="73">
        <v>81874469.5</v>
      </c>
      <c r="H83" s="78">
        <v>66982735.249999993</v>
      </c>
      <c r="I83" s="74">
        <v>0</v>
      </c>
      <c r="J83" s="75"/>
      <c r="K83" s="71">
        <v>0</v>
      </c>
      <c r="L83" s="76"/>
      <c r="M83" s="76">
        <v>0</v>
      </c>
      <c r="N83" s="71">
        <v>3130475.4</v>
      </c>
    </row>
    <row r="84" spans="1:16" x14ac:dyDescent="0.3">
      <c r="A84" s="42" t="s">
        <v>63</v>
      </c>
      <c r="B84" s="75">
        <f t="shared" ref="B84:B87" si="4">SUM(C84:N84)</f>
        <v>1241708934.5499997</v>
      </c>
      <c r="C84" s="77">
        <v>264922063.62999997</v>
      </c>
      <c r="D84" s="78">
        <v>193935673.87999997</v>
      </c>
      <c r="E84" s="78">
        <v>241247822.07999998</v>
      </c>
      <c r="F84" s="78">
        <v>282401076.55000001</v>
      </c>
      <c r="G84" s="78">
        <v>177495119.56000003</v>
      </c>
      <c r="H84" s="78">
        <v>67870313.849999994</v>
      </c>
      <c r="I84" s="74">
        <v>12012785</v>
      </c>
      <c r="J84" s="75"/>
      <c r="K84" s="75">
        <v>1824080</v>
      </c>
      <c r="L84" s="74"/>
      <c r="M84" s="74">
        <v>0</v>
      </c>
      <c r="N84" s="75">
        <v>0</v>
      </c>
    </row>
    <row r="85" spans="1:16" x14ac:dyDescent="0.3">
      <c r="A85" s="42" t="s">
        <v>64</v>
      </c>
      <c r="B85" s="75">
        <f t="shared" si="4"/>
        <v>872044886.79999995</v>
      </c>
      <c r="C85" s="77">
        <v>218679851.27000004</v>
      </c>
      <c r="D85" s="78">
        <v>125656864.36999997</v>
      </c>
      <c r="E85" s="78">
        <v>170293925.89000005</v>
      </c>
      <c r="F85" s="78">
        <v>210452128.59</v>
      </c>
      <c r="G85" s="78">
        <v>73337731.379999995</v>
      </c>
      <c r="H85" s="78">
        <v>67336971.879999995</v>
      </c>
      <c r="I85" s="74">
        <v>3601191</v>
      </c>
      <c r="J85" s="75"/>
      <c r="K85" s="75">
        <v>0</v>
      </c>
      <c r="L85" s="74"/>
      <c r="M85" s="74">
        <v>0</v>
      </c>
      <c r="N85" s="75">
        <v>2686222.42</v>
      </c>
    </row>
    <row r="86" spans="1:16" x14ac:dyDescent="0.3">
      <c r="A86" s="42" t="s">
        <v>65</v>
      </c>
      <c r="B86" s="75">
        <f t="shared" si="4"/>
        <v>1022932452.4999999</v>
      </c>
      <c r="C86" s="77">
        <v>294518367.98999995</v>
      </c>
      <c r="D86" s="78">
        <v>183738231.02999997</v>
      </c>
      <c r="E86" s="78">
        <v>229861517.61999997</v>
      </c>
      <c r="F86" s="78">
        <v>225453374.2899999</v>
      </c>
      <c r="G86" s="78">
        <v>56505170.220000006</v>
      </c>
      <c r="H86" s="78">
        <v>11635169.25</v>
      </c>
      <c r="I86" s="74">
        <v>5589315.8200000003</v>
      </c>
      <c r="J86" s="75"/>
      <c r="K86" s="75">
        <v>2083303</v>
      </c>
      <c r="L86" s="74"/>
      <c r="M86" s="74">
        <v>2208341.75</v>
      </c>
      <c r="N86" s="75">
        <v>11339661.529999999</v>
      </c>
    </row>
    <row r="87" spans="1:16" ht="14" thickBot="1" x14ac:dyDescent="0.35">
      <c r="A87" s="43" t="s">
        <v>66</v>
      </c>
      <c r="B87" s="79">
        <f t="shared" si="4"/>
        <v>674602735.33999968</v>
      </c>
      <c r="C87" s="80">
        <v>290938280.14999992</v>
      </c>
      <c r="D87" s="80">
        <v>149204158.13999996</v>
      </c>
      <c r="E87" s="80">
        <v>108085201.78999998</v>
      </c>
      <c r="F87" s="80">
        <v>85102083.38000001</v>
      </c>
      <c r="G87" s="80">
        <v>25091028.530000001</v>
      </c>
      <c r="H87" s="80">
        <v>9297917.9299999997</v>
      </c>
      <c r="I87" s="81">
        <v>2726420.65</v>
      </c>
      <c r="J87" s="79"/>
      <c r="K87" s="79">
        <v>0</v>
      </c>
      <c r="L87" s="81"/>
      <c r="M87" s="81">
        <v>0</v>
      </c>
      <c r="N87" s="79">
        <v>4157644.77</v>
      </c>
    </row>
    <row r="88" spans="1:16" ht="14" thickTop="1" x14ac:dyDescent="0.3">
      <c r="A88" s="42" t="s">
        <v>1</v>
      </c>
      <c r="B88" s="82">
        <f>SUM(B83:B87)</f>
        <v>4558705957.3799992</v>
      </c>
      <c r="C88" s="82">
        <f>SUM(C83:C87)</f>
        <v>1217828677.0899999</v>
      </c>
      <c r="D88" s="82">
        <f t="shared" ref="D88:N88" si="5">SUM(D83:D87)</f>
        <v>766787728.46999991</v>
      </c>
      <c r="E88" s="82">
        <f t="shared" si="5"/>
        <v>908576669.64999998</v>
      </c>
      <c r="F88" s="82">
        <f t="shared" si="5"/>
        <v>976726813.4799999</v>
      </c>
      <c r="G88" s="82">
        <f t="shared" si="5"/>
        <v>414303519.19000006</v>
      </c>
      <c r="H88" s="82">
        <f t="shared" si="5"/>
        <v>223123108.16</v>
      </c>
      <c r="I88" s="82">
        <f t="shared" si="5"/>
        <v>23929712.469999999</v>
      </c>
      <c r="J88" s="82">
        <f t="shared" si="5"/>
        <v>0</v>
      </c>
      <c r="K88" s="82">
        <f t="shared" si="5"/>
        <v>3907383</v>
      </c>
      <c r="L88" s="82">
        <f t="shared" si="5"/>
        <v>0</v>
      </c>
      <c r="M88" s="82">
        <f t="shared" si="5"/>
        <v>2208341.75</v>
      </c>
      <c r="N88" s="82">
        <f t="shared" si="5"/>
        <v>21314004.120000001</v>
      </c>
      <c r="O88" s="70"/>
    </row>
    <row r="89" spans="1:16" x14ac:dyDescent="0.3">
      <c r="A89" s="26"/>
      <c r="B89" s="83"/>
      <c r="C89" s="83"/>
      <c r="D89" s="83"/>
      <c r="E89" s="83"/>
      <c r="F89" s="83"/>
      <c r="G89" s="83"/>
      <c r="H89" s="83"/>
      <c r="I89" s="83"/>
      <c r="J89" s="83"/>
      <c r="K89" s="83"/>
      <c r="L89" s="83"/>
      <c r="M89" s="83"/>
      <c r="N89" s="83"/>
      <c r="O89" s="67"/>
    </row>
    <row r="90" spans="1:16" x14ac:dyDescent="0.3">
      <c r="A90" s="67"/>
    </row>
    <row r="91" spans="1:16" x14ac:dyDescent="0.3">
      <c r="A91" s="164" t="s">
        <v>90</v>
      </c>
      <c r="B91" s="164"/>
      <c r="C91" s="164"/>
      <c r="D91" s="164"/>
      <c r="E91" s="164"/>
      <c r="F91" s="164"/>
      <c r="G91" s="164"/>
      <c r="H91" s="164"/>
      <c r="I91" s="164"/>
      <c r="J91" s="164"/>
      <c r="K91" s="164"/>
      <c r="L91" s="164"/>
      <c r="M91" s="164"/>
      <c r="N91" s="16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row>
    <row r="93" spans="1:16" x14ac:dyDescent="0.3">
      <c r="A93" s="46"/>
      <c r="B93" s="11"/>
      <c r="C93" s="13"/>
      <c r="D93" s="13"/>
      <c r="E93" s="17"/>
      <c r="F93" s="13"/>
      <c r="G93" s="13"/>
      <c r="H93" s="13"/>
      <c r="I93" s="13"/>
      <c r="J93" s="13"/>
      <c r="K93" s="13"/>
      <c r="L93" s="13"/>
      <c r="M93" s="13"/>
      <c r="N93" s="13"/>
    </row>
    <row r="94" spans="1:16" ht="27" x14ac:dyDescent="0.3">
      <c r="A94" s="47"/>
      <c r="B94" s="25" t="s">
        <v>4</v>
      </c>
      <c r="C94" s="15" t="s">
        <v>4</v>
      </c>
      <c r="D94" s="15" t="s">
        <v>4</v>
      </c>
      <c r="E94" s="14" t="s">
        <v>4</v>
      </c>
      <c r="F94" s="15" t="s">
        <v>4</v>
      </c>
      <c r="G94" s="15" t="s">
        <v>4</v>
      </c>
      <c r="H94" s="15" t="s">
        <v>4</v>
      </c>
      <c r="I94" s="15" t="s">
        <v>4</v>
      </c>
      <c r="J94" s="15" t="s">
        <v>4</v>
      </c>
      <c r="K94" s="15" t="s">
        <v>4</v>
      </c>
      <c r="L94" s="15" t="s">
        <v>4</v>
      </c>
      <c r="M94" s="15" t="s">
        <v>4</v>
      </c>
      <c r="N94" s="15" t="s">
        <v>4</v>
      </c>
    </row>
    <row r="95" spans="1:16" x14ac:dyDescent="0.3">
      <c r="A95" s="42" t="s">
        <v>201</v>
      </c>
      <c r="B95" s="140">
        <f t="shared" ref="B95:B98" si="6">SUM(C95:N95)</f>
        <v>2497470</v>
      </c>
      <c r="C95" s="138">
        <v>2497470</v>
      </c>
      <c r="D95" s="85">
        <v>0</v>
      </c>
      <c r="E95" s="85">
        <v>0</v>
      </c>
      <c r="F95" s="85">
        <v>0</v>
      </c>
      <c r="G95" s="85">
        <v>0</v>
      </c>
      <c r="H95" s="85">
        <v>0</v>
      </c>
      <c r="I95" s="86">
        <v>0</v>
      </c>
      <c r="J95" s="86"/>
      <c r="K95" s="86">
        <v>0</v>
      </c>
      <c r="L95" s="86"/>
      <c r="M95" s="86">
        <v>0</v>
      </c>
      <c r="N95" s="87">
        <v>0</v>
      </c>
    </row>
    <row r="96" spans="1:16" x14ac:dyDescent="0.3">
      <c r="A96" s="42" t="s">
        <v>202</v>
      </c>
      <c r="B96" s="88">
        <f t="shared" si="6"/>
        <v>0</v>
      </c>
      <c r="C96" s="89">
        <v>0</v>
      </c>
      <c r="D96" s="90">
        <v>0</v>
      </c>
      <c r="E96" s="90">
        <v>0</v>
      </c>
      <c r="F96" s="90">
        <v>0</v>
      </c>
      <c r="G96" s="90">
        <v>0</v>
      </c>
      <c r="H96" s="90">
        <v>0</v>
      </c>
      <c r="I96" s="91">
        <v>0</v>
      </c>
      <c r="J96" s="91"/>
      <c r="K96" s="91">
        <v>0</v>
      </c>
      <c r="L96" s="91"/>
      <c r="M96" s="91">
        <v>0</v>
      </c>
      <c r="N96" s="92">
        <v>0</v>
      </c>
    </row>
    <row r="97" spans="1:15" x14ac:dyDescent="0.3">
      <c r="A97" s="42" t="s">
        <v>58</v>
      </c>
      <c r="B97" s="88">
        <f t="shared" si="6"/>
        <v>4542331191.3800001</v>
      </c>
      <c r="C97" s="89">
        <v>1209705210.0899994</v>
      </c>
      <c r="D97" s="90">
        <v>765687728.47000039</v>
      </c>
      <c r="E97" s="90">
        <v>903084286.64999986</v>
      </c>
      <c r="F97" s="90">
        <v>975067897.48000014</v>
      </c>
      <c r="G97" s="90">
        <v>414303519.19000006</v>
      </c>
      <c r="H97" s="90">
        <v>223123108.16</v>
      </c>
      <c r="I97" s="91">
        <v>23929712.469999999</v>
      </c>
      <c r="J97" s="91"/>
      <c r="K97" s="91">
        <v>3907383</v>
      </c>
      <c r="L97" s="91"/>
      <c r="M97" s="91">
        <v>2208341.75</v>
      </c>
      <c r="N97" s="92">
        <v>21314004.120000001</v>
      </c>
    </row>
    <row r="98" spans="1:15" ht="14" thickBot="1" x14ac:dyDescent="0.35">
      <c r="A98" s="43" t="s">
        <v>203</v>
      </c>
      <c r="B98" s="148">
        <f t="shared" si="6"/>
        <v>13877296</v>
      </c>
      <c r="C98" s="89">
        <v>5625997</v>
      </c>
      <c r="D98" s="90">
        <v>1100000</v>
      </c>
      <c r="E98" s="90">
        <v>5492383</v>
      </c>
      <c r="F98" s="90">
        <v>1658916</v>
      </c>
      <c r="G98" s="90">
        <v>0</v>
      </c>
      <c r="H98" s="90">
        <v>0</v>
      </c>
      <c r="I98" s="91">
        <v>0</v>
      </c>
      <c r="J98" s="91"/>
      <c r="K98" s="91">
        <v>0</v>
      </c>
      <c r="L98" s="91"/>
      <c r="M98" s="91">
        <v>0</v>
      </c>
      <c r="N98" s="96">
        <v>0</v>
      </c>
    </row>
    <row r="99" spans="1:15" ht="14" thickTop="1" x14ac:dyDescent="0.3">
      <c r="A99" s="42" t="s">
        <v>1</v>
      </c>
      <c r="B99" s="139">
        <f t="shared" ref="B99:N99" si="7">SUM(B95:B98)</f>
        <v>4558705957.3800001</v>
      </c>
      <c r="C99" s="97">
        <f t="shared" si="7"/>
        <v>1217828677.0899994</v>
      </c>
      <c r="D99" s="97">
        <f t="shared" si="7"/>
        <v>766787728.47000039</v>
      </c>
      <c r="E99" s="97">
        <f t="shared" si="7"/>
        <v>908576669.64999986</v>
      </c>
      <c r="F99" s="97">
        <f t="shared" si="7"/>
        <v>976726813.48000014</v>
      </c>
      <c r="G99" s="97">
        <f t="shared" si="7"/>
        <v>414303519.19000006</v>
      </c>
      <c r="H99" s="97">
        <f t="shared" si="7"/>
        <v>223123108.16</v>
      </c>
      <c r="I99" s="97">
        <f t="shared" si="7"/>
        <v>23929712.469999999</v>
      </c>
      <c r="J99" s="97">
        <f t="shared" si="7"/>
        <v>0</v>
      </c>
      <c r="K99" s="97">
        <f t="shared" si="7"/>
        <v>3907383</v>
      </c>
      <c r="L99" s="97">
        <f t="shared" si="7"/>
        <v>0</v>
      </c>
      <c r="M99" s="97">
        <f t="shared" si="7"/>
        <v>2208341.75</v>
      </c>
      <c r="N99" s="98">
        <f t="shared" si="7"/>
        <v>21314004.120000001</v>
      </c>
    </row>
    <row r="100" spans="1:15" x14ac:dyDescent="0.3">
      <c r="A100" s="26"/>
      <c r="B100" s="99"/>
      <c r="C100" s="99"/>
      <c r="D100" s="99"/>
      <c r="E100" s="99"/>
      <c r="F100" s="99"/>
      <c r="G100" s="99"/>
      <c r="H100" s="99"/>
      <c r="I100" s="99"/>
      <c r="J100" s="99"/>
      <c r="K100" s="99"/>
      <c r="L100" s="99"/>
      <c r="M100" s="99"/>
      <c r="N100" s="99"/>
    </row>
    <row r="102" spans="1:15" x14ac:dyDescent="0.3">
      <c r="A102" s="164" t="s">
        <v>91</v>
      </c>
      <c r="B102" s="164"/>
      <c r="C102" s="164"/>
      <c r="D102" s="164"/>
      <c r="E102" s="164"/>
      <c r="F102" s="164"/>
      <c r="G102" s="164"/>
      <c r="H102" s="164"/>
      <c r="I102" s="164"/>
      <c r="J102" s="164"/>
      <c r="K102" s="164"/>
      <c r="L102" s="164"/>
      <c r="M102" s="164"/>
      <c r="N102" s="164"/>
    </row>
    <row r="103" spans="1:15" x14ac:dyDescent="0.3">
      <c r="A103" s="113"/>
      <c r="B103" s="109"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row>
    <row r="104" spans="1:15" x14ac:dyDescent="0.3">
      <c r="A104" s="48"/>
      <c r="B104" s="11"/>
      <c r="C104" s="13"/>
      <c r="D104" s="13"/>
      <c r="E104" s="17"/>
      <c r="F104" s="13"/>
      <c r="G104" s="13"/>
      <c r="H104" s="13"/>
      <c r="I104" s="13"/>
      <c r="J104" s="13"/>
      <c r="K104" s="13"/>
      <c r="L104" s="13"/>
      <c r="M104" s="13"/>
      <c r="N104" s="13"/>
    </row>
    <row r="105" spans="1:15" ht="27" x14ac:dyDescent="0.3">
      <c r="A105" s="47"/>
      <c r="B105" s="25" t="s">
        <v>4</v>
      </c>
      <c r="C105" s="15" t="s">
        <v>4</v>
      </c>
      <c r="D105" s="15" t="s">
        <v>4</v>
      </c>
      <c r="E105" s="14" t="s">
        <v>4</v>
      </c>
      <c r="F105" s="15" t="s">
        <v>4</v>
      </c>
      <c r="G105" s="15" t="s">
        <v>4</v>
      </c>
      <c r="H105" s="15" t="s">
        <v>4</v>
      </c>
      <c r="I105" s="15" t="s">
        <v>4</v>
      </c>
      <c r="J105" s="15" t="s">
        <v>4</v>
      </c>
      <c r="K105" s="15" t="s">
        <v>4</v>
      </c>
      <c r="L105" s="15" t="s">
        <v>4</v>
      </c>
      <c r="M105" s="15" t="s">
        <v>4</v>
      </c>
      <c r="N105" s="15" t="s">
        <v>4</v>
      </c>
    </row>
    <row r="106" spans="1:15" x14ac:dyDescent="0.3">
      <c r="A106" s="42" t="s">
        <v>57</v>
      </c>
      <c r="B106" s="137">
        <v>4558705957.3800011</v>
      </c>
      <c r="C106" s="137">
        <v>1217828677.0900002</v>
      </c>
      <c r="D106" s="137">
        <v>766787728.47000015</v>
      </c>
      <c r="E106" s="137">
        <v>908576669.65000021</v>
      </c>
      <c r="F106" s="137">
        <v>976726813.48000014</v>
      </c>
      <c r="G106" s="137">
        <v>414303519.18999994</v>
      </c>
      <c r="H106" s="137">
        <v>223123108.16000003</v>
      </c>
      <c r="I106" s="50">
        <v>23929712.469999999</v>
      </c>
      <c r="J106" s="50">
        <v>0</v>
      </c>
      <c r="K106" s="50">
        <v>3907383</v>
      </c>
      <c r="L106" s="50">
        <v>0</v>
      </c>
      <c r="M106" s="50">
        <v>2208341.75</v>
      </c>
      <c r="N106" s="50">
        <v>21314004.120000001</v>
      </c>
      <c r="O106" s="70"/>
    </row>
    <row r="107" spans="1:15" x14ac:dyDescent="0.3">
      <c r="A107" s="42" t="s">
        <v>67</v>
      </c>
      <c r="B107" s="100"/>
      <c r="C107" s="90"/>
      <c r="D107" s="90"/>
      <c r="E107" s="90"/>
      <c r="F107" s="90"/>
      <c r="G107" s="90"/>
      <c r="H107" s="90"/>
      <c r="I107" s="91"/>
      <c r="J107" s="91"/>
      <c r="K107" s="91"/>
      <c r="L107" s="91"/>
      <c r="M107" s="91"/>
      <c r="N107" s="91"/>
      <c r="O107" s="70"/>
    </row>
    <row r="108" spans="1:15" x14ac:dyDescent="0.3">
      <c r="A108" s="42" t="s">
        <v>68</v>
      </c>
      <c r="B108" s="100"/>
      <c r="C108" s="90"/>
      <c r="D108" s="90"/>
      <c r="E108" s="90"/>
      <c r="F108" s="90"/>
      <c r="G108" s="90"/>
      <c r="H108" s="90"/>
      <c r="I108" s="91"/>
      <c r="J108" s="91"/>
      <c r="K108" s="91"/>
      <c r="L108" s="91"/>
      <c r="M108" s="91"/>
      <c r="N108" s="91"/>
      <c r="O108" s="70"/>
    </row>
    <row r="109" spans="1:15" ht="14" thickBot="1" x14ac:dyDescent="0.35">
      <c r="A109" s="43" t="s">
        <v>69</v>
      </c>
      <c r="B109" s="93"/>
      <c r="C109" s="94"/>
      <c r="D109" s="94"/>
      <c r="E109" s="94"/>
      <c r="F109" s="94"/>
      <c r="G109" s="94"/>
      <c r="H109" s="94"/>
      <c r="I109" s="95"/>
      <c r="J109" s="95"/>
      <c r="K109" s="95"/>
      <c r="L109" s="95"/>
      <c r="M109" s="95"/>
      <c r="N109" s="95"/>
      <c r="O109" s="70"/>
    </row>
    <row r="110" spans="1:15" ht="14" thickTop="1" x14ac:dyDescent="0.3">
      <c r="A110" s="42" t="s">
        <v>1</v>
      </c>
      <c r="B110" s="97">
        <f>SUM(B106:B109)</f>
        <v>4558705957.3800011</v>
      </c>
      <c r="C110" s="97">
        <f>SUM(C106:C109)</f>
        <v>1217828677.0900002</v>
      </c>
      <c r="D110" s="97">
        <f t="shared" ref="D110:N110" si="8">SUM(D106:D109)</f>
        <v>766787728.47000015</v>
      </c>
      <c r="E110" s="97">
        <f t="shared" si="8"/>
        <v>908576669.65000021</v>
      </c>
      <c r="F110" s="97">
        <f t="shared" si="8"/>
        <v>976726813.48000014</v>
      </c>
      <c r="G110" s="97">
        <f t="shared" si="8"/>
        <v>414303519.18999994</v>
      </c>
      <c r="H110" s="97">
        <f t="shared" si="8"/>
        <v>223123108.16000003</v>
      </c>
      <c r="I110" s="97">
        <f t="shared" si="8"/>
        <v>23929712.469999999</v>
      </c>
      <c r="J110" s="97">
        <f t="shared" si="8"/>
        <v>0</v>
      </c>
      <c r="K110" s="97">
        <f t="shared" si="8"/>
        <v>3907383</v>
      </c>
      <c r="L110" s="97">
        <f t="shared" si="8"/>
        <v>0</v>
      </c>
      <c r="M110" s="97">
        <f t="shared" si="8"/>
        <v>2208341.75</v>
      </c>
      <c r="N110" s="97">
        <f t="shared" si="8"/>
        <v>21314004.120000001</v>
      </c>
      <c r="O110" s="70"/>
    </row>
    <row r="111" spans="1:15" x14ac:dyDescent="0.3">
      <c r="A111" s="26"/>
      <c r="B111" s="99"/>
      <c r="C111" s="99"/>
      <c r="D111" s="99"/>
      <c r="E111" s="99"/>
      <c r="F111" s="99"/>
      <c r="G111" s="99"/>
      <c r="H111" s="99"/>
      <c r="I111" s="99"/>
      <c r="J111" s="99"/>
      <c r="K111" s="99"/>
      <c r="L111" s="99"/>
      <c r="M111" s="99"/>
      <c r="N111" s="99"/>
      <c r="O111" s="67"/>
    </row>
    <row r="113" spans="1:9" x14ac:dyDescent="0.3">
      <c r="A113" s="164" t="s">
        <v>70</v>
      </c>
      <c r="B113" s="164"/>
      <c r="C113" s="164"/>
      <c r="D113" s="164"/>
      <c r="E113" s="164"/>
      <c r="F113" s="164"/>
      <c r="G113" s="164"/>
      <c r="H113" s="164"/>
      <c r="I113" s="164"/>
    </row>
    <row r="114" spans="1:9" ht="40.5" x14ac:dyDescent="0.3">
      <c r="A114" s="109" t="s">
        <v>50</v>
      </c>
      <c r="B114" s="109" t="s">
        <v>51</v>
      </c>
      <c r="C114" s="149" t="s">
        <v>204</v>
      </c>
      <c r="D114" s="149" t="s">
        <v>59</v>
      </c>
      <c r="E114" s="149" t="s">
        <v>61</v>
      </c>
      <c r="F114" s="149" t="s">
        <v>53</v>
      </c>
      <c r="G114" s="150" t="s">
        <v>60</v>
      </c>
      <c r="H114" s="151" t="s">
        <v>54</v>
      </c>
      <c r="I114" s="150" t="s">
        <v>55</v>
      </c>
    </row>
    <row r="115" spans="1:9" x14ac:dyDescent="0.3">
      <c r="A115" s="41" t="s">
        <v>92</v>
      </c>
      <c r="B115" s="144" t="s">
        <v>3</v>
      </c>
      <c r="C115" s="86">
        <v>545000000</v>
      </c>
      <c r="D115" s="276" t="s">
        <v>100</v>
      </c>
      <c r="E115" s="276">
        <v>42150</v>
      </c>
      <c r="F115" s="146" t="s">
        <v>56</v>
      </c>
      <c r="G115" s="146" t="s">
        <v>108</v>
      </c>
      <c r="H115" s="276" t="s">
        <v>110</v>
      </c>
      <c r="I115" s="147">
        <v>2</v>
      </c>
    </row>
    <row r="116" spans="1:9" x14ac:dyDescent="0.3">
      <c r="A116" s="42" t="s">
        <v>97</v>
      </c>
      <c r="B116" s="70" t="s">
        <v>3</v>
      </c>
      <c r="C116" s="91">
        <v>350000000</v>
      </c>
      <c r="D116" s="277" t="s">
        <v>105</v>
      </c>
      <c r="E116" s="277">
        <v>42479</v>
      </c>
      <c r="F116" s="101" t="s">
        <v>56</v>
      </c>
      <c r="G116" s="101" t="s">
        <v>108</v>
      </c>
      <c r="H116" s="277" t="s">
        <v>114</v>
      </c>
      <c r="I116" s="143">
        <v>3</v>
      </c>
    </row>
    <row r="117" spans="1:9" x14ac:dyDescent="0.3">
      <c r="A117" s="42" t="s">
        <v>96</v>
      </c>
      <c r="B117" s="70" t="s">
        <v>3</v>
      </c>
      <c r="C117" s="91">
        <v>75000000</v>
      </c>
      <c r="D117" s="277" t="s">
        <v>104</v>
      </c>
      <c r="E117" s="277">
        <v>43173</v>
      </c>
      <c r="F117" s="101" t="s">
        <v>58</v>
      </c>
      <c r="G117" s="101" t="s">
        <v>109</v>
      </c>
      <c r="H117" s="277" t="s">
        <v>113</v>
      </c>
      <c r="I117" s="143">
        <v>5</v>
      </c>
    </row>
    <row r="118" spans="1:9" x14ac:dyDescent="0.3">
      <c r="A118" s="42" t="s">
        <v>99</v>
      </c>
      <c r="B118" s="70" t="s">
        <v>3</v>
      </c>
      <c r="C118" s="91">
        <v>400000000</v>
      </c>
      <c r="D118" s="277" t="s">
        <v>107</v>
      </c>
      <c r="E118" s="277">
        <v>42922</v>
      </c>
      <c r="F118" s="101" t="s">
        <v>56</v>
      </c>
      <c r="G118" s="101" t="s">
        <v>108</v>
      </c>
      <c r="H118" s="277" t="s">
        <v>116</v>
      </c>
      <c r="I118" s="143">
        <v>6</v>
      </c>
    </row>
    <row r="119" spans="1:9" x14ac:dyDescent="0.3">
      <c r="A119" s="42" t="s">
        <v>94</v>
      </c>
      <c r="B119" s="70" t="s">
        <v>3</v>
      </c>
      <c r="C119" s="91">
        <v>920000000</v>
      </c>
      <c r="D119" s="277" t="s">
        <v>102</v>
      </c>
      <c r="E119" s="277">
        <v>43357</v>
      </c>
      <c r="F119" s="101" t="s">
        <v>56</v>
      </c>
      <c r="G119" s="101" t="s">
        <v>108</v>
      </c>
      <c r="H119" s="277" t="s">
        <v>112</v>
      </c>
      <c r="I119" s="143">
        <v>7</v>
      </c>
    </row>
    <row r="120" spans="1:9" x14ac:dyDescent="0.3">
      <c r="A120" s="42" t="s">
        <v>95</v>
      </c>
      <c r="B120" s="70" t="s">
        <v>3</v>
      </c>
      <c r="C120" s="91">
        <v>365000000</v>
      </c>
      <c r="D120" s="277" t="s">
        <v>103</v>
      </c>
      <c r="E120" s="277">
        <v>42992</v>
      </c>
      <c r="F120" s="101" t="s">
        <v>56</v>
      </c>
      <c r="G120" s="101" t="s">
        <v>108</v>
      </c>
      <c r="H120" s="277" t="s">
        <v>112</v>
      </c>
      <c r="I120" s="143">
        <v>8</v>
      </c>
    </row>
    <row r="121" spans="1:9" x14ac:dyDescent="0.3">
      <c r="A121" s="42" t="s">
        <v>164</v>
      </c>
      <c r="B121" s="70" t="s">
        <v>3</v>
      </c>
      <c r="C121" s="91">
        <v>880000000</v>
      </c>
      <c r="D121" s="277">
        <f>E121-365</f>
        <v>43242</v>
      </c>
      <c r="E121" s="277">
        <v>43607</v>
      </c>
      <c r="F121" s="101" t="s">
        <v>56</v>
      </c>
      <c r="G121" s="101" t="s">
        <v>108</v>
      </c>
      <c r="H121" s="277">
        <v>41355</v>
      </c>
      <c r="I121" s="143">
        <v>9</v>
      </c>
    </row>
    <row r="122" spans="1:9" x14ac:dyDescent="0.3">
      <c r="A122" s="26" t="s">
        <v>167</v>
      </c>
      <c r="B122" s="308" t="s">
        <v>3</v>
      </c>
      <c r="C122" s="92">
        <v>375000000</v>
      </c>
      <c r="D122" s="309">
        <v>42464</v>
      </c>
      <c r="E122" s="309">
        <f>D122+365</f>
        <v>42829</v>
      </c>
      <c r="F122" s="143" t="s">
        <v>56</v>
      </c>
      <c r="G122" s="143" t="s">
        <v>108</v>
      </c>
      <c r="H122" s="309">
        <v>41367</v>
      </c>
      <c r="I122" s="143">
        <v>10</v>
      </c>
    </row>
    <row r="123" spans="1:9" ht="14" thickBot="1" x14ac:dyDescent="0.35">
      <c r="A123" s="43" t="s">
        <v>200</v>
      </c>
      <c r="B123" s="169" t="s">
        <v>3</v>
      </c>
      <c r="C123" s="95">
        <v>360000000</v>
      </c>
      <c r="D123" s="275">
        <v>43438</v>
      </c>
      <c r="E123" s="275">
        <f>D123+365</f>
        <v>43803</v>
      </c>
      <c r="F123" s="171" t="s">
        <v>58</v>
      </c>
      <c r="G123" s="171" t="s">
        <v>109</v>
      </c>
      <c r="H123" s="278">
        <v>41521</v>
      </c>
      <c r="I123" s="172">
        <v>11</v>
      </c>
    </row>
    <row r="124" spans="1:9" s="67" customFormat="1" ht="14" thickTop="1" x14ac:dyDescent="0.3">
      <c r="A124" s="26"/>
      <c r="C124" s="104"/>
      <c r="D124" s="102"/>
      <c r="E124" s="102"/>
      <c r="F124" s="105"/>
      <c r="I124" s="102"/>
    </row>
    <row r="125" spans="1:9" s="67" customFormat="1" x14ac:dyDescent="0.3">
      <c r="A125" s="26"/>
      <c r="C125" s="104"/>
      <c r="D125" s="102"/>
      <c r="E125" s="102"/>
      <c r="F125" s="105"/>
      <c r="I125" s="102"/>
    </row>
    <row r="126" spans="1:9" s="67" customFormat="1" x14ac:dyDescent="0.3">
      <c r="A126" s="164" t="s">
        <v>118</v>
      </c>
      <c r="B126" s="164"/>
      <c r="C126" s="164"/>
      <c r="D126" s="164"/>
      <c r="E126" s="164"/>
      <c r="F126" s="164"/>
      <c r="I126" s="102"/>
    </row>
    <row r="127" spans="1:9" s="67" customFormat="1" x14ac:dyDescent="0.3">
      <c r="A127" s="136" t="s">
        <v>119</v>
      </c>
      <c r="B127" s="19" t="s">
        <v>50</v>
      </c>
      <c r="C127" s="19" t="s">
        <v>120</v>
      </c>
      <c r="D127" s="19" t="s">
        <v>51</v>
      </c>
      <c r="E127" s="63" t="s">
        <v>121</v>
      </c>
      <c r="F127" s="63" t="s">
        <v>166</v>
      </c>
      <c r="I127" s="102"/>
    </row>
    <row r="128" spans="1:9" s="67" customFormat="1" x14ac:dyDescent="0.3">
      <c r="A128" s="8" t="s">
        <v>123</v>
      </c>
      <c r="B128" s="125" t="s">
        <v>124</v>
      </c>
      <c r="C128" s="125" t="s">
        <v>125</v>
      </c>
      <c r="D128" s="125" t="s">
        <v>3</v>
      </c>
      <c r="E128" s="92">
        <v>145000000</v>
      </c>
      <c r="F128" s="64" t="s">
        <v>126</v>
      </c>
      <c r="I128" s="102"/>
    </row>
    <row r="129" spans="1:11" s="67" customFormat="1" x14ac:dyDescent="0.3">
      <c r="A129" s="7" t="s">
        <v>186</v>
      </c>
      <c r="B129" s="126" t="s">
        <v>191</v>
      </c>
      <c r="C129" s="126" t="s">
        <v>128</v>
      </c>
      <c r="D129" s="126" t="s">
        <v>3</v>
      </c>
      <c r="E129" s="92">
        <v>10000000</v>
      </c>
      <c r="F129" s="64" t="s">
        <v>129</v>
      </c>
      <c r="I129" s="102"/>
    </row>
    <row r="130" spans="1:11" s="67" customFormat="1" x14ac:dyDescent="0.3">
      <c r="A130" s="7" t="s">
        <v>168</v>
      </c>
      <c r="B130" s="126" t="s">
        <v>130</v>
      </c>
      <c r="C130" s="126" t="s">
        <v>128</v>
      </c>
      <c r="D130" s="126" t="s">
        <v>3</v>
      </c>
      <c r="E130" s="91">
        <v>25000000</v>
      </c>
      <c r="F130" s="64" t="s">
        <v>195</v>
      </c>
      <c r="I130" s="102"/>
    </row>
    <row r="131" spans="1:11" s="67" customFormat="1" x14ac:dyDescent="0.3">
      <c r="A131" s="7" t="s">
        <v>170</v>
      </c>
      <c r="B131" s="126" t="s">
        <v>177</v>
      </c>
      <c r="C131" s="126" t="s">
        <v>128</v>
      </c>
      <c r="D131" s="126" t="s">
        <v>3</v>
      </c>
      <c r="E131" s="92">
        <v>10000000</v>
      </c>
      <c r="F131" s="64" t="s">
        <v>129</v>
      </c>
      <c r="I131" s="102"/>
    </row>
    <row r="132" spans="1:11" s="67" customFormat="1" x14ac:dyDescent="0.3">
      <c r="A132" s="7" t="s">
        <v>171</v>
      </c>
      <c r="B132" s="126" t="s">
        <v>134</v>
      </c>
      <c r="C132" s="126" t="s">
        <v>128</v>
      </c>
      <c r="D132" s="126" t="s">
        <v>3</v>
      </c>
      <c r="E132" s="92">
        <v>25000000</v>
      </c>
      <c r="F132" s="64" t="s">
        <v>129</v>
      </c>
      <c r="I132" s="102"/>
    </row>
    <row r="133" spans="1:11" s="67" customFormat="1" x14ac:dyDescent="0.3">
      <c r="A133" s="7" t="s">
        <v>172</v>
      </c>
      <c r="B133" s="126" t="s">
        <v>178</v>
      </c>
      <c r="C133" s="126" t="s">
        <v>128</v>
      </c>
      <c r="D133" s="126" t="s">
        <v>3</v>
      </c>
      <c r="E133" s="92">
        <v>10000000</v>
      </c>
      <c r="F133" s="64" t="s">
        <v>129</v>
      </c>
      <c r="I133" s="102"/>
    </row>
    <row r="134" spans="1:11" s="67" customFormat="1" x14ac:dyDescent="0.3">
      <c r="A134" s="7" t="s">
        <v>187</v>
      </c>
      <c r="B134" s="126" t="s">
        <v>192</v>
      </c>
      <c r="C134" s="126" t="s">
        <v>128</v>
      </c>
      <c r="D134" s="126" t="s">
        <v>3</v>
      </c>
      <c r="E134" s="92">
        <v>50000000</v>
      </c>
      <c r="F134" s="64" t="s">
        <v>195</v>
      </c>
      <c r="I134" s="102"/>
    </row>
    <row r="135" spans="1:11" s="67" customFormat="1" x14ac:dyDescent="0.3">
      <c r="A135" s="7" t="s">
        <v>188</v>
      </c>
      <c r="B135" s="126" t="s">
        <v>179</v>
      </c>
      <c r="C135" s="126" t="s">
        <v>128</v>
      </c>
      <c r="D135" s="126" t="s">
        <v>3</v>
      </c>
      <c r="E135" s="92">
        <v>30000000</v>
      </c>
      <c r="F135" s="64" t="s">
        <v>129</v>
      </c>
      <c r="I135" s="102"/>
    </row>
    <row r="136" spans="1:11" s="67" customFormat="1" x14ac:dyDescent="0.3">
      <c r="A136" s="7" t="s">
        <v>189</v>
      </c>
      <c r="B136" s="126" t="s">
        <v>193</v>
      </c>
      <c r="C136" s="126" t="s">
        <v>128</v>
      </c>
      <c r="D136" s="126" t="s">
        <v>3</v>
      </c>
      <c r="E136" s="92">
        <v>152000000</v>
      </c>
      <c r="F136" s="64" t="s">
        <v>129</v>
      </c>
      <c r="I136" s="102"/>
    </row>
    <row r="137" spans="1:11" s="67" customFormat="1" x14ac:dyDescent="0.3">
      <c r="A137" s="7" t="s">
        <v>190</v>
      </c>
      <c r="B137" s="126" t="s">
        <v>194</v>
      </c>
      <c r="C137" s="126" t="s">
        <v>128</v>
      </c>
      <c r="D137" s="126" t="s">
        <v>3</v>
      </c>
      <c r="E137" s="92">
        <v>45000000</v>
      </c>
      <c r="F137" s="64" t="s">
        <v>129</v>
      </c>
      <c r="I137" s="102"/>
    </row>
    <row r="138" spans="1:11" s="67" customFormat="1" ht="14" thickBot="1" x14ac:dyDescent="0.35">
      <c r="A138" s="3" t="s">
        <v>175</v>
      </c>
      <c r="B138" s="165" t="s">
        <v>163</v>
      </c>
      <c r="C138" s="165" t="s">
        <v>128</v>
      </c>
      <c r="D138" s="128" t="s">
        <v>3</v>
      </c>
      <c r="E138" s="96">
        <v>25000000</v>
      </c>
      <c r="F138" s="65" t="s">
        <v>195</v>
      </c>
      <c r="I138" s="102"/>
    </row>
    <row r="139" spans="1:11" s="67" customFormat="1" ht="14" thickTop="1" x14ac:dyDescent="0.3">
      <c r="A139" s="5" t="s">
        <v>1</v>
      </c>
      <c r="B139" s="166"/>
      <c r="C139" s="166"/>
      <c r="D139" s="166"/>
      <c r="E139" s="103">
        <f>SUM(E128:E138)</f>
        <v>527000000</v>
      </c>
      <c r="F139" s="167"/>
      <c r="I139" s="102"/>
    </row>
    <row r="140" spans="1:11" s="67" customFormat="1" x14ac:dyDescent="0.3">
      <c r="A140" s="26"/>
      <c r="C140" s="104"/>
      <c r="D140" s="102"/>
      <c r="E140" s="102"/>
      <c r="F140" s="105"/>
      <c r="I140" s="102"/>
    </row>
    <row r="141" spans="1:11" x14ac:dyDescent="0.3">
      <c r="A141" s="67"/>
      <c r="B141" s="67"/>
      <c r="C141" s="67"/>
      <c r="D141" s="67"/>
      <c r="E141" s="67"/>
      <c r="F141" s="67"/>
      <c r="G141" s="67"/>
      <c r="H141" s="67"/>
      <c r="I141" s="67"/>
      <c r="J141" s="67"/>
      <c r="K141" s="67"/>
    </row>
    <row r="142" spans="1:11" x14ac:dyDescent="0.3">
      <c r="A142" s="164" t="s">
        <v>132</v>
      </c>
      <c r="B142" s="164"/>
      <c r="C142" s="164"/>
      <c r="D142" s="164"/>
      <c r="E142" s="164"/>
    </row>
    <row r="162" spans="1:1" x14ac:dyDescent="0.3">
      <c r="A162"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158"/>
  <sheetViews>
    <sheetView workbookViewId="0">
      <selection activeCell="C8" sqref="C8"/>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13" ht="15" x14ac:dyDescent="0.3">
      <c r="A1" s="124" t="s">
        <v>85</v>
      </c>
      <c r="B1" s="52"/>
      <c r="C1" s="52"/>
      <c r="D1" s="52"/>
      <c r="E1" s="52"/>
      <c r="F1" s="67"/>
      <c r="G1" s="67"/>
      <c r="H1" s="67"/>
      <c r="I1" s="67"/>
      <c r="J1" s="67"/>
      <c r="K1" s="67"/>
      <c r="L1" s="67"/>
      <c r="M1" s="67"/>
    </row>
    <row r="2" spans="1:13" x14ac:dyDescent="0.3">
      <c r="A2" s="52" t="s">
        <v>0</v>
      </c>
      <c r="B2" s="114">
        <v>41455</v>
      </c>
      <c r="E2" s="52"/>
      <c r="F2" s="67"/>
      <c r="G2" s="67"/>
      <c r="H2" s="67"/>
      <c r="I2" s="67"/>
      <c r="J2" s="67"/>
      <c r="K2" s="67"/>
      <c r="L2" s="67"/>
      <c r="M2" s="67"/>
    </row>
    <row r="3" spans="1:13" x14ac:dyDescent="0.3">
      <c r="A3" s="52" t="s">
        <v>2</v>
      </c>
      <c r="B3" s="115" t="s">
        <v>3</v>
      </c>
      <c r="E3" s="52"/>
      <c r="F3" s="67"/>
      <c r="G3" s="55"/>
      <c r="H3" s="55"/>
      <c r="I3" s="67"/>
      <c r="J3" s="67"/>
      <c r="K3" s="67"/>
      <c r="L3" s="67"/>
      <c r="M3" s="67"/>
    </row>
    <row r="4" spans="1:13" x14ac:dyDescent="0.3">
      <c r="A4" s="52"/>
      <c r="B4" s="52"/>
      <c r="C4" s="52"/>
      <c r="D4" s="52"/>
      <c r="E4" s="52"/>
      <c r="F4" s="67"/>
      <c r="G4" s="55"/>
      <c r="H4" s="55"/>
      <c r="I4" s="67"/>
      <c r="J4" s="67"/>
      <c r="K4" s="67"/>
      <c r="L4" s="67"/>
      <c r="M4" s="67"/>
    </row>
    <row r="5" spans="1:13" x14ac:dyDescent="0.3">
      <c r="A5" s="163" t="s">
        <v>72</v>
      </c>
      <c r="B5" s="164"/>
      <c r="C5" s="116"/>
      <c r="D5" s="116"/>
      <c r="E5" s="116"/>
      <c r="F5" s="116"/>
      <c r="G5" s="55"/>
      <c r="H5" s="55"/>
      <c r="I5" s="295"/>
      <c r="J5" s="295"/>
      <c r="K5" s="67"/>
      <c r="L5" s="67"/>
      <c r="M5" s="67"/>
    </row>
    <row r="6" spans="1:13" ht="12.75" customHeight="1" x14ac:dyDescent="0.3">
      <c r="A6" s="106"/>
      <c r="B6" s="106" t="s">
        <v>1</v>
      </c>
      <c r="C6" s="59"/>
      <c r="D6" s="59"/>
      <c r="E6" s="117"/>
      <c r="F6" s="2"/>
      <c r="G6" s="2"/>
      <c r="H6" s="2"/>
      <c r="I6" s="295"/>
      <c r="J6" s="295"/>
      <c r="K6" s="67"/>
      <c r="L6" s="67"/>
      <c r="M6" s="67"/>
    </row>
    <row r="7" spans="1:13" x14ac:dyDescent="0.3">
      <c r="A7" s="56" t="s">
        <v>77</v>
      </c>
      <c r="B7" s="286">
        <v>3713012173.2300005</v>
      </c>
      <c r="C7" s="121"/>
      <c r="D7" s="174"/>
      <c r="E7" s="119"/>
      <c r="F7" s="120"/>
      <c r="G7" s="55"/>
      <c r="H7" s="55"/>
      <c r="I7" s="67"/>
      <c r="J7" s="67"/>
      <c r="K7" s="67"/>
      <c r="L7" s="67"/>
      <c r="M7" s="67"/>
    </row>
    <row r="8" spans="1:13" x14ac:dyDescent="0.3">
      <c r="A8" s="56" t="s">
        <v>78</v>
      </c>
      <c r="B8" s="123">
        <v>1030247.5508407326</v>
      </c>
      <c r="C8" s="121"/>
      <c r="D8" s="175"/>
      <c r="E8" s="119"/>
      <c r="F8" s="120"/>
      <c r="G8" s="55"/>
      <c r="H8" s="55"/>
      <c r="I8" s="67"/>
      <c r="J8" s="67"/>
      <c r="K8" s="67"/>
      <c r="L8" s="67"/>
      <c r="M8" s="67"/>
    </row>
    <row r="9" spans="1:13" x14ac:dyDescent="0.3">
      <c r="A9" s="56" t="s">
        <v>73</v>
      </c>
      <c r="B9" s="123">
        <v>3604</v>
      </c>
      <c r="C9" s="121"/>
      <c r="D9" s="174"/>
      <c r="E9" s="119"/>
      <c r="F9" s="120"/>
      <c r="G9" s="55"/>
      <c r="H9" s="55"/>
      <c r="I9" s="67"/>
      <c r="J9" s="67"/>
      <c r="K9" s="67"/>
      <c r="L9" s="67"/>
      <c r="M9" s="67"/>
    </row>
    <row r="10" spans="1:13" ht="13.5" customHeight="1" x14ac:dyDescent="0.3">
      <c r="A10" s="56" t="s">
        <v>79</v>
      </c>
      <c r="B10" s="56">
        <v>1.2658000000000001E-2</v>
      </c>
      <c r="C10" s="121"/>
      <c r="D10" s="118"/>
      <c r="E10" s="119"/>
      <c r="F10" s="120"/>
      <c r="G10" s="55"/>
      <c r="H10" s="55"/>
      <c r="I10" s="67"/>
      <c r="J10" s="67"/>
      <c r="K10" s="67"/>
      <c r="L10" s="67"/>
      <c r="M10" s="67"/>
    </row>
    <row r="11" spans="1:13" x14ac:dyDescent="0.3">
      <c r="A11" s="56" t="s">
        <v>74</v>
      </c>
      <c r="B11" s="123">
        <v>30</v>
      </c>
      <c r="C11" s="121"/>
      <c r="D11" s="118"/>
      <c r="E11" s="119"/>
      <c r="F11" s="120"/>
      <c r="G11" s="55"/>
      <c r="H11" s="55"/>
      <c r="I11" s="67"/>
      <c r="J11" s="67"/>
      <c r="K11" s="67"/>
      <c r="L11" s="67"/>
      <c r="M11" s="67"/>
    </row>
    <row r="12" spans="1:13" x14ac:dyDescent="0.3">
      <c r="A12" s="56" t="s">
        <v>81</v>
      </c>
      <c r="B12" s="123">
        <v>164</v>
      </c>
      <c r="C12" s="121"/>
      <c r="D12" s="118"/>
      <c r="E12" s="119"/>
      <c r="F12" s="120"/>
      <c r="G12" s="55"/>
      <c r="H12" s="55"/>
      <c r="I12" s="67"/>
      <c r="J12" s="67"/>
      <c r="K12" s="67"/>
      <c r="L12" s="67"/>
      <c r="M12" s="67"/>
    </row>
    <row r="13" spans="1:13" x14ac:dyDescent="0.3">
      <c r="A13" s="56" t="s">
        <v>75</v>
      </c>
      <c r="B13" s="123">
        <v>3696</v>
      </c>
      <c r="C13" s="121"/>
      <c r="D13" s="118"/>
      <c r="E13" s="119"/>
      <c r="F13" s="120"/>
      <c r="G13" s="55"/>
      <c r="H13" s="55"/>
      <c r="I13" s="295"/>
      <c r="J13" s="295"/>
      <c r="K13" s="67"/>
      <c r="L13" s="67"/>
      <c r="M13" s="67"/>
    </row>
    <row r="14" spans="1:13" x14ac:dyDescent="0.3">
      <c r="A14" s="56" t="s">
        <v>76</v>
      </c>
      <c r="B14" s="123">
        <v>4642</v>
      </c>
      <c r="C14" s="121"/>
      <c r="D14" s="118"/>
      <c r="E14" s="119"/>
      <c r="F14" s="120"/>
      <c r="G14" s="55"/>
      <c r="H14" s="55"/>
      <c r="I14" s="295"/>
      <c r="J14" s="295"/>
      <c r="K14" s="67"/>
      <c r="L14" s="67"/>
      <c r="M14" s="67"/>
    </row>
    <row r="15" spans="1:13" x14ac:dyDescent="0.3">
      <c r="A15" s="56" t="s">
        <v>82</v>
      </c>
      <c r="B15" s="56">
        <v>0.47889999999999999</v>
      </c>
      <c r="C15" s="121"/>
      <c r="D15" s="118"/>
      <c r="E15" s="119"/>
      <c r="F15" s="120"/>
      <c r="G15" s="55"/>
      <c r="H15" s="55"/>
      <c r="I15" s="295"/>
      <c r="J15" s="295"/>
      <c r="K15" s="67"/>
      <c r="L15" s="67"/>
      <c r="M15" s="67"/>
    </row>
    <row r="16" spans="1:13" x14ac:dyDescent="0.3">
      <c r="A16" s="56" t="s">
        <v>83</v>
      </c>
      <c r="B16" s="141">
        <v>1</v>
      </c>
      <c r="C16" s="121"/>
      <c r="D16" s="118"/>
      <c r="E16" s="119"/>
      <c r="F16" s="120"/>
      <c r="G16" s="55"/>
      <c r="H16" s="55"/>
      <c r="I16" s="295"/>
      <c r="J16" s="295"/>
      <c r="K16" s="67"/>
      <c r="L16" s="67"/>
      <c r="M16" s="67"/>
    </row>
    <row r="17" spans="1:13" x14ac:dyDescent="0.3">
      <c r="A17" s="56" t="s">
        <v>86</v>
      </c>
      <c r="B17" s="141">
        <v>1</v>
      </c>
      <c r="C17" s="121"/>
      <c r="D17" s="118"/>
      <c r="E17" s="119"/>
      <c r="F17" s="120"/>
      <c r="G17" s="55"/>
      <c r="H17" s="55"/>
      <c r="I17" s="295"/>
      <c r="J17" s="295"/>
      <c r="K17" s="67"/>
      <c r="L17" s="67"/>
      <c r="M17" s="67"/>
    </row>
    <row r="18" spans="1:13" x14ac:dyDescent="0.3">
      <c r="A18" s="56" t="s">
        <v>84</v>
      </c>
      <c r="B18" s="56">
        <v>0</v>
      </c>
      <c r="C18" s="121"/>
      <c r="D18" s="118"/>
      <c r="E18" s="119"/>
      <c r="F18" s="120"/>
      <c r="G18" s="55"/>
      <c r="H18" s="55"/>
      <c r="I18" s="295"/>
      <c r="J18" s="295"/>
      <c r="K18" s="67"/>
      <c r="L18" s="67"/>
      <c r="M18" s="67"/>
    </row>
    <row r="19" spans="1:13" x14ac:dyDescent="0.3">
      <c r="A19" s="56" t="s">
        <v>49</v>
      </c>
      <c r="B19" s="123">
        <f>E135</f>
        <v>215000000</v>
      </c>
      <c r="C19" s="121"/>
      <c r="D19" s="121"/>
      <c r="E19" s="55"/>
      <c r="F19" s="122"/>
      <c r="G19" s="55"/>
      <c r="H19" s="55"/>
      <c r="I19" s="295"/>
      <c r="J19" s="295"/>
      <c r="K19" s="67"/>
      <c r="L19" s="67"/>
      <c r="M19" s="67"/>
    </row>
    <row r="20" spans="1:13" x14ac:dyDescent="0.3">
      <c r="A20" s="57" t="s">
        <v>80</v>
      </c>
      <c r="B20" s="58">
        <f>B19+B7</f>
        <v>3928012173.2300005</v>
      </c>
      <c r="C20" s="59"/>
      <c r="D20" s="59"/>
      <c r="E20" s="61"/>
      <c r="F20" s="62"/>
      <c r="G20" s="55"/>
      <c r="H20" s="55"/>
      <c r="I20" s="295"/>
      <c r="J20" s="295"/>
      <c r="K20" s="67"/>
      <c r="L20" s="67"/>
      <c r="M20" s="67"/>
    </row>
    <row r="21" spans="1:13" s="54" customFormat="1" x14ac:dyDescent="0.3">
      <c r="A21" s="59"/>
      <c r="B21" s="60"/>
      <c r="C21" s="59"/>
      <c r="D21" s="59"/>
      <c r="E21" s="61"/>
      <c r="F21" s="62"/>
      <c r="G21" s="55"/>
      <c r="H21" s="55"/>
      <c r="I21" s="296"/>
      <c r="J21" s="296"/>
      <c r="K21" s="55"/>
      <c r="L21" s="55"/>
      <c r="M21" s="55"/>
    </row>
    <row r="22" spans="1:13" x14ac:dyDescent="0.3">
      <c r="F22" s="67"/>
      <c r="G22" s="67"/>
      <c r="H22" s="67"/>
      <c r="I22" s="295"/>
      <c r="J22" s="295"/>
      <c r="K22" s="67"/>
      <c r="L22" s="67"/>
      <c r="M22" s="67"/>
    </row>
    <row r="23" spans="1:13" x14ac:dyDescent="0.3">
      <c r="A23" s="163" t="s">
        <v>71</v>
      </c>
      <c r="B23" s="164"/>
      <c r="C23" s="163"/>
      <c r="D23" s="164"/>
      <c r="E23" s="116"/>
      <c r="F23" s="116"/>
      <c r="G23" s="67"/>
      <c r="H23" s="67"/>
      <c r="I23" s="67"/>
      <c r="J23" s="67"/>
      <c r="K23" s="67"/>
      <c r="L23" s="67"/>
      <c r="M23" s="67"/>
    </row>
    <row r="24" spans="1:13" x14ac:dyDescent="0.3">
      <c r="A24" s="106"/>
      <c r="B24" s="106"/>
      <c r="C24" s="106"/>
      <c r="D24" s="106"/>
      <c r="E24" s="117"/>
      <c r="F24" s="2"/>
      <c r="G24" s="67"/>
      <c r="H24" s="67"/>
      <c r="I24" s="295"/>
      <c r="J24" s="295"/>
      <c r="K24" s="67"/>
      <c r="L24" s="67"/>
      <c r="M24" s="67"/>
    </row>
    <row r="25" spans="1:13" x14ac:dyDescent="0.3">
      <c r="A25" s="9" t="s">
        <v>16</v>
      </c>
      <c r="B25" s="10" t="s">
        <v>4</v>
      </c>
      <c r="C25" s="10" t="s">
        <v>5</v>
      </c>
      <c r="D25" s="63" t="s">
        <v>17</v>
      </c>
      <c r="F25" s="297"/>
      <c r="G25" s="67"/>
      <c r="H25" s="67"/>
      <c r="I25" s="295"/>
      <c r="J25" s="295"/>
      <c r="K25" s="67"/>
      <c r="L25" s="67"/>
      <c r="M25" s="67"/>
    </row>
    <row r="26" spans="1:13" ht="14.5" x14ac:dyDescent="0.35">
      <c r="A26" s="6" t="s">
        <v>6</v>
      </c>
      <c r="B26" s="126">
        <v>1169122688.6299996</v>
      </c>
      <c r="C26" s="129">
        <v>1729</v>
      </c>
      <c r="D26" s="64">
        <f t="shared" ref="D26:D34" si="0">B26/$B$38</f>
        <v>0.31487176289351176</v>
      </c>
      <c r="E26" s="173"/>
      <c r="F26" s="297"/>
      <c r="G26" s="67"/>
      <c r="H26" s="67"/>
      <c r="I26" s="295"/>
      <c r="J26" s="295"/>
      <c r="K26" s="67"/>
      <c r="L26" s="67"/>
      <c r="M26" s="67"/>
    </row>
    <row r="27" spans="1:13" ht="14.5" x14ac:dyDescent="0.35">
      <c r="A27" s="6" t="s">
        <v>7</v>
      </c>
      <c r="B27" s="126">
        <v>737592836.9400003</v>
      </c>
      <c r="C27" s="129">
        <v>621</v>
      </c>
      <c r="D27" s="64">
        <f t="shared" si="0"/>
        <v>0.19865079954703141</v>
      </c>
      <c r="E27" s="173"/>
      <c r="F27" s="297"/>
      <c r="G27" s="67"/>
      <c r="H27" s="67"/>
      <c r="I27" s="295"/>
      <c r="J27" s="295"/>
      <c r="K27" s="67"/>
      <c r="L27" s="67"/>
      <c r="M27" s="67"/>
    </row>
    <row r="28" spans="1:13" ht="14.5" x14ac:dyDescent="0.35">
      <c r="A28" s="6" t="s">
        <v>8</v>
      </c>
      <c r="B28" s="126">
        <v>803552251.37000012</v>
      </c>
      <c r="C28" s="129">
        <v>612</v>
      </c>
      <c r="D28" s="64">
        <f t="shared" si="0"/>
        <v>0.21641519442447152</v>
      </c>
      <c r="E28" s="173"/>
      <c r="F28" s="297"/>
      <c r="G28" s="67"/>
      <c r="H28" s="67"/>
      <c r="I28" s="67"/>
      <c r="J28" s="67"/>
      <c r="K28" s="67"/>
      <c r="L28" s="67"/>
      <c r="M28" s="67"/>
    </row>
    <row r="29" spans="1:13" ht="14.5" x14ac:dyDescent="0.35">
      <c r="A29" s="6" t="s">
        <v>9</v>
      </c>
      <c r="B29" s="126">
        <v>730552768.75000024</v>
      </c>
      <c r="C29" s="129">
        <v>484</v>
      </c>
      <c r="D29" s="64">
        <f t="shared" si="0"/>
        <v>0.19675474646087204</v>
      </c>
      <c r="E29" s="173"/>
      <c r="F29" s="297"/>
      <c r="G29" s="67"/>
      <c r="H29" s="67"/>
      <c r="I29" s="295"/>
      <c r="J29" s="295"/>
      <c r="K29" s="67"/>
      <c r="L29" s="67"/>
      <c r="M29" s="67"/>
    </row>
    <row r="30" spans="1:13" ht="14.5" x14ac:dyDescent="0.35">
      <c r="A30" s="6" t="s">
        <v>140</v>
      </c>
      <c r="B30" s="126">
        <v>229712981.22999996</v>
      </c>
      <c r="C30" s="129">
        <v>137</v>
      </c>
      <c r="D30" s="64">
        <f t="shared" si="0"/>
        <v>6.1867015380714326E-2</v>
      </c>
      <c r="E30" s="173"/>
      <c r="F30" s="297"/>
      <c r="G30" s="67"/>
      <c r="H30" s="67"/>
      <c r="I30" s="295"/>
      <c r="J30" s="295"/>
      <c r="K30" s="67"/>
      <c r="L30" s="67"/>
      <c r="M30" s="67"/>
    </row>
    <row r="31" spans="1:13" ht="14.5" x14ac:dyDescent="0.35">
      <c r="A31" s="6" t="s">
        <v>141</v>
      </c>
      <c r="B31" s="126">
        <v>28918890.300000001</v>
      </c>
      <c r="C31" s="129">
        <v>14</v>
      </c>
      <c r="D31" s="64">
        <f t="shared" si="0"/>
        <v>7.7885255826788896E-3</v>
      </c>
      <c r="E31" s="173"/>
      <c r="F31" s="298"/>
      <c r="G31" s="67"/>
      <c r="H31" s="67"/>
      <c r="I31" s="295"/>
      <c r="J31" s="295"/>
      <c r="K31" s="67"/>
      <c r="L31" s="67"/>
      <c r="M31" s="67"/>
    </row>
    <row r="32" spans="1:13" ht="14.5" x14ac:dyDescent="0.35">
      <c r="A32" s="6" t="s">
        <v>10</v>
      </c>
      <c r="B32" s="126">
        <v>4494044.0999999996</v>
      </c>
      <c r="C32" s="129">
        <v>2</v>
      </c>
      <c r="D32" s="64">
        <f t="shared" si="0"/>
        <v>1.2103499504798468E-3</v>
      </c>
      <c r="E32" s="173"/>
      <c r="F32" s="299"/>
      <c r="G32" s="67"/>
      <c r="H32" s="67"/>
      <c r="I32" s="295"/>
      <c r="J32" s="295"/>
      <c r="K32" s="67"/>
      <c r="L32" s="67"/>
      <c r="M32" s="67"/>
    </row>
    <row r="33" spans="1:14" ht="14.5" x14ac:dyDescent="0.35">
      <c r="A33" s="6" t="s">
        <v>11</v>
      </c>
      <c r="B33" s="134">
        <v>1501054</v>
      </c>
      <c r="C33" s="135">
        <v>1</v>
      </c>
      <c r="D33" s="64">
        <f t="shared" si="0"/>
        <v>4.0426853723299604E-4</v>
      </c>
      <c r="E33" s="173"/>
      <c r="F33" s="67"/>
      <c r="G33" s="67"/>
      <c r="H33" s="67"/>
      <c r="I33" s="67"/>
      <c r="J33" s="67"/>
      <c r="K33" s="67"/>
      <c r="L33" s="67"/>
      <c r="M33" s="67"/>
    </row>
    <row r="34" spans="1:14" ht="14.5" x14ac:dyDescent="0.35">
      <c r="A34" s="6" t="s">
        <v>12</v>
      </c>
      <c r="B34" s="130">
        <v>7564657.9100000001</v>
      </c>
      <c r="C34" s="131">
        <v>4</v>
      </c>
      <c r="D34" s="64">
        <f t="shared" si="0"/>
        <v>2.037337223007109E-3</v>
      </c>
      <c r="E34" s="173"/>
      <c r="F34" s="67"/>
      <c r="G34" s="67"/>
      <c r="H34" s="67"/>
      <c r="I34" s="67"/>
      <c r="J34" s="67"/>
      <c r="K34" s="67"/>
      <c r="L34" s="67"/>
      <c r="M34" s="67"/>
    </row>
    <row r="35" spans="1:14" ht="14.5" x14ac:dyDescent="0.35">
      <c r="A35" s="6" t="s">
        <v>13</v>
      </c>
      <c r="B35" s="130"/>
      <c r="C35" s="131"/>
      <c r="D35" s="64"/>
      <c r="E35" s="173"/>
      <c r="F35" s="67"/>
      <c r="G35" s="67"/>
      <c r="H35" s="67"/>
      <c r="I35" s="67"/>
      <c r="J35" s="67"/>
      <c r="K35" s="67"/>
      <c r="L35" s="67"/>
      <c r="M35" s="67"/>
    </row>
    <row r="36" spans="1:14" ht="14.5" x14ac:dyDescent="0.35">
      <c r="A36" s="6" t="s">
        <v>14</v>
      </c>
      <c r="B36" s="130"/>
      <c r="C36" s="131"/>
      <c r="D36" s="64">
        <f>B36/$B$38</f>
        <v>0</v>
      </c>
      <c r="E36" s="173"/>
      <c r="F36" s="67"/>
      <c r="G36" s="67"/>
      <c r="H36" s="67"/>
      <c r="I36" s="67"/>
      <c r="J36" s="67"/>
      <c r="K36" s="67"/>
      <c r="L36" s="67"/>
      <c r="M36" s="67"/>
    </row>
    <row r="37" spans="1:14" ht="15" thickBot="1" x14ac:dyDescent="0.4">
      <c r="A37" s="4" t="s">
        <v>15</v>
      </c>
      <c r="B37" s="132"/>
      <c r="C37" s="287"/>
      <c r="D37" s="65">
        <f>B37/$B$38</f>
        <v>0</v>
      </c>
      <c r="E37" s="173"/>
      <c r="F37" s="67"/>
      <c r="G37" s="67"/>
      <c r="H37" s="67"/>
      <c r="I37" s="67"/>
      <c r="J37" s="67"/>
      <c r="K37" s="67"/>
      <c r="L37" s="67"/>
      <c r="M37" s="67"/>
    </row>
    <row r="38" spans="1:14" ht="15" thickTop="1" x14ac:dyDescent="0.35">
      <c r="A38" s="1" t="s">
        <v>1</v>
      </c>
      <c r="B38" s="18">
        <f>SUM(B26:B37)</f>
        <v>3713012173.2300005</v>
      </c>
      <c r="C38" s="133">
        <f>SUM(C26:C37)</f>
        <v>3604</v>
      </c>
      <c r="D38" s="66">
        <f>B38/$B$38</f>
        <v>1</v>
      </c>
      <c r="E38" s="173"/>
    </row>
    <row r="41" spans="1:14" x14ac:dyDescent="0.3">
      <c r="A41" s="164" t="s">
        <v>87</v>
      </c>
      <c r="B41" s="164"/>
      <c r="C41" s="164"/>
      <c r="D41" s="293"/>
      <c r="E41" s="293"/>
      <c r="F41" s="293"/>
      <c r="G41" s="293"/>
      <c r="H41" s="293"/>
      <c r="I41" s="293"/>
      <c r="J41" s="293"/>
      <c r="K41" s="164"/>
      <c r="L41" s="164"/>
      <c r="M41" s="164"/>
      <c r="N41" s="164"/>
    </row>
    <row r="42" spans="1:14" s="68" customFormat="1" x14ac:dyDescent="0.3">
      <c r="A42" s="107"/>
      <c r="B42" s="155" t="s">
        <v>1</v>
      </c>
      <c r="C42" s="158" t="s">
        <v>18</v>
      </c>
      <c r="D42" s="281" t="s">
        <v>19</v>
      </c>
      <c r="E42" s="281" t="s">
        <v>20</v>
      </c>
      <c r="F42" s="281" t="s">
        <v>21</v>
      </c>
      <c r="G42" s="281" t="s">
        <v>138</v>
      </c>
      <c r="H42" s="281" t="s">
        <v>139</v>
      </c>
      <c r="I42" s="281" t="s">
        <v>22</v>
      </c>
      <c r="J42" s="281" t="s">
        <v>23</v>
      </c>
      <c r="K42" s="290" t="s">
        <v>24</v>
      </c>
      <c r="L42" s="159" t="s">
        <v>25</v>
      </c>
      <c r="M42" s="159" t="s">
        <v>26</v>
      </c>
      <c r="N42" s="160" t="s">
        <v>27</v>
      </c>
    </row>
    <row r="43" spans="1:14" x14ac:dyDescent="0.3">
      <c r="A43" s="153" t="s">
        <v>28</v>
      </c>
      <c r="B43" s="288">
        <f t="shared" ref="B43:B61" si="1">SUM(C43:N43)</f>
        <v>122135295.53472953</v>
      </c>
      <c r="C43" s="294">
        <v>43016028.96077989</v>
      </c>
      <c r="D43" s="294">
        <v>39841271.186249487</v>
      </c>
      <c r="E43" s="294">
        <v>18024528.799597181</v>
      </c>
      <c r="F43" s="294">
        <v>19313746.886341125</v>
      </c>
      <c r="G43" s="294">
        <v>1939719.7017618632</v>
      </c>
      <c r="H43" s="294">
        <v>0</v>
      </c>
      <c r="I43" s="294">
        <v>0</v>
      </c>
      <c r="J43" s="294">
        <v>0</v>
      </c>
      <c r="K43" s="291">
        <v>0</v>
      </c>
      <c r="L43" s="161">
        <v>0</v>
      </c>
      <c r="M43" s="161">
        <v>0</v>
      </c>
      <c r="N43" s="161">
        <v>0</v>
      </c>
    </row>
    <row r="44" spans="1:14" x14ac:dyDescent="0.3">
      <c r="A44" s="154" t="s">
        <v>29</v>
      </c>
      <c r="B44" s="282">
        <f>SUM(C44:N44)</f>
        <v>159794455.85204971</v>
      </c>
      <c r="C44" s="285">
        <v>40902613.219841935</v>
      </c>
      <c r="D44" s="285">
        <v>37165296.129969589</v>
      </c>
      <c r="E44" s="285">
        <v>36123719.485659204</v>
      </c>
      <c r="F44" s="285">
        <v>33824522.288684711</v>
      </c>
      <c r="G44" s="285">
        <v>10277250.727894234</v>
      </c>
      <c r="H44" s="285">
        <v>0</v>
      </c>
      <c r="I44" s="285">
        <v>0</v>
      </c>
      <c r="J44" s="285">
        <v>1501054</v>
      </c>
      <c r="K44" s="283">
        <v>0</v>
      </c>
      <c r="L44" s="162">
        <v>0</v>
      </c>
      <c r="M44" s="162">
        <v>0</v>
      </c>
      <c r="N44" s="162">
        <v>0</v>
      </c>
    </row>
    <row r="45" spans="1:14" x14ac:dyDescent="0.3">
      <c r="A45" s="154" t="s">
        <v>30</v>
      </c>
      <c r="B45" s="282">
        <f t="shared" si="1"/>
        <v>13646277.546559988</v>
      </c>
      <c r="C45" s="285">
        <v>5834112.6171780769</v>
      </c>
      <c r="D45" s="285">
        <v>4647228.885544545</v>
      </c>
      <c r="E45" s="285">
        <v>1919338.4545099391</v>
      </c>
      <c r="F45" s="285">
        <v>1245597.5893274262</v>
      </c>
      <c r="G45" s="285">
        <v>0</v>
      </c>
      <c r="H45" s="285">
        <v>0</v>
      </c>
      <c r="I45" s="285">
        <v>0</v>
      </c>
      <c r="J45" s="285">
        <v>0</v>
      </c>
      <c r="K45" s="283">
        <v>0</v>
      </c>
      <c r="L45" s="162">
        <v>0</v>
      </c>
      <c r="M45" s="162">
        <v>0</v>
      </c>
      <c r="N45" s="162">
        <v>0</v>
      </c>
    </row>
    <row r="46" spans="1:14" x14ac:dyDescent="0.3">
      <c r="A46" s="154" t="s">
        <v>142</v>
      </c>
      <c r="B46" s="282">
        <f t="shared" si="1"/>
        <v>2185156.4772912124</v>
      </c>
      <c r="C46" s="285">
        <v>0</v>
      </c>
      <c r="D46" s="285">
        <v>0</v>
      </c>
      <c r="E46" s="285">
        <v>0</v>
      </c>
      <c r="F46" s="285">
        <v>0</v>
      </c>
      <c r="G46" s="285">
        <v>2185156.4772912124</v>
      </c>
      <c r="H46" s="285">
        <v>0</v>
      </c>
      <c r="I46" s="285">
        <v>0</v>
      </c>
      <c r="J46" s="285">
        <v>0</v>
      </c>
      <c r="K46" s="283">
        <v>0</v>
      </c>
      <c r="L46" s="162">
        <v>0</v>
      </c>
      <c r="M46" s="162">
        <v>0</v>
      </c>
      <c r="N46" s="162">
        <v>0</v>
      </c>
    </row>
    <row r="47" spans="1:14" x14ac:dyDescent="0.3">
      <c r="A47" s="154" t="s">
        <v>31</v>
      </c>
      <c r="B47" s="282">
        <f t="shared" si="1"/>
        <v>2622187.7727494547</v>
      </c>
      <c r="C47" s="285">
        <v>0</v>
      </c>
      <c r="D47" s="285">
        <v>0</v>
      </c>
      <c r="E47" s="285">
        <v>0</v>
      </c>
      <c r="F47" s="285">
        <v>0</v>
      </c>
      <c r="G47" s="285">
        <v>2622187.7727494547</v>
      </c>
      <c r="H47" s="285">
        <v>0</v>
      </c>
      <c r="I47" s="285">
        <v>0</v>
      </c>
      <c r="J47" s="285">
        <v>0</v>
      </c>
      <c r="K47" s="283">
        <v>0</v>
      </c>
      <c r="L47" s="162">
        <v>0</v>
      </c>
      <c r="M47" s="162">
        <v>0</v>
      </c>
      <c r="N47" s="162">
        <v>0</v>
      </c>
    </row>
    <row r="48" spans="1:14" x14ac:dyDescent="0.3">
      <c r="A48" s="154" t="s">
        <v>32</v>
      </c>
      <c r="B48" s="282">
        <f t="shared" si="1"/>
        <v>308070776.38427132</v>
      </c>
      <c r="C48" s="285">
        <v>90107697.78705734</v>
      </c>
      <c r="D48" s="285">
        <v>52000089.885164127</v>
      </c>
      <c r="E48" s="285">
        <v>75383920.706365407</v>
      </c>
      <c r="F48" s="285">
        <v>75635977.717455655</v>
      </c>
      <c r="G48" s="285">
        <v>12740425.18822876</v>
      </c>
      <c r="H48" s="285">
        <v>0</v>
      </c>
      <c r="I48" s="285">
        <v>0</v>
      </c>
      <c r="J48" s="285">
        <v>0</v>
      </c>
      <c r="K48" s="283">
        <v>2202665.1</v>
      </c>
      <c r="L48" s="162">
        <v>0</v>
      </c>
      <c r="M48" s="162">
        <v>0</v>
      </c>
      <c r="N48" s="162">
        <v>0</v>
      </c>
    </row>
    <row r="49" spans="1:14" x14ac:dyDescent="0.3">
      <c r="A49" s="154" t="s">
        <v>143</v>
      </c>
      <c r="B49" s="282">
        <f t="shared" si="1"/>
        <v>6591577.074248435</v>
      </c>
      <c r="C49" s="285">
        <v>2034283.9001805868</v>
      </c>
      <c r="D49" s="285">
        <v>1450302.7195451888</v>
      </c>
      <c r="E49" s="285">
        <v>3106990.4545226595</v>
      </c>
      <c r="F49" s="285">
        <v>0</v>
      </c>
      <c r="G49" s="285">
        <v>0</v>
      </c>
      <c r="H49" s="285">
        <v>0</v>
      </c>
      <c r="I49" s="285">
        <v>0</v>
      </c>
      <c r="J49" s="285">
        <v>0</v>
      </c>
      <c r="K49" s="283">
        <v>0</v>
      </c>
      <c r="L49" s="162">
        <v>0</v>
      </c>
      <c r="M49" s="162">
        <v>0</v>
      </c>
      <c r="N49" s="162">
        <v>0</v>
      </c>
    </row>
    <row r="50" spans="1:14" x14ac:dyDescent="0.3">
      <c r="A50" s="154" t="s">
        <v>33</v>
      </c>
      <c r="B50" s="282">
        <f t="shared" si="1"/>
        <v>2629388.936008614</v>
      </c>
      <c r="C50" s="285">
        <v>751998.10366394825</v>
      </c>
      <c r="D50" s="285">
        <v>0</v>
      </c>
      <c r="E50" s="285">
        <v>1877390.8323446657</v>
      </c>
      <c r="F50" s="285">
        <v>0</v>
      </c>
      <c r="G50" s="285">
        <v>0</v>
      </c>
      <c r="H50" s="285">
        <v>0</v>
      </c>
      <c r="I50" s="285">
        <v>0</v>
      </c>
      <c r="J50" s="285">
        <v>0</v>
      </c>
      <c r="K50" s="283">
        <v>0</v>
      </c>
      <c r="L50" s="162">
        <v>0</v>
      </c>
      <c r="M50" s="162">
        <v>0</v>
      </c>
      <c r="N50" s="162">
        <v>0</v>
      </c>
    </row>
    <row r="51" spans="1:14" x14ac:dyDescent="0.3">
      <c r="A51" s="154" t="s">
        <v>34</v>
      </c>
      <c r="B51" s="282">
        <f t="shared" si="1"/>
        <v>7848472.1297012847</v>
      </c>
      <c r="C51" s="285">
        <v>2699938.9620429203</v>
      </c>
      <c r="D51" s="285">
        <v>1355540.685843637</v>
      </c>
      <c r="E51" s="285">
        <v>0</v>
      </c>
      <c r="F51" s="285">
        <v>3792992.4818147277</v>
      </c>
      <c r="G51" s="285">
        <v>0</v>
      </c>
      <c r="H51" s="285">
        <v>0</v>
      </c>
      <c r="I51" s="285">
        <v>0</v>
      </c>
      <c r="J51" s="285">
        <v>0</v>
      </c>
      <c r="K51" s="283"/>
      <c r="L51" s="162">
        <v>0</v>
      </c>
      <c r="M51" s="162">
        <v>0</v>
      </c>
      <c r="N51" s="162">
        <v>0</v>
      </c>
    </row>
    <row r="52" spans="1:14" x14ac:dyDescent="0.3">
      <c r="A52" s="154" t="s">
        <v>35</v>
      </c>
      <c r="B52" s="282">
        <f t="shared" si="1"/>
        <v>164050770.63924849</v>
      </c>
      <c r="C52" s="285">
        <v>41869663.986957073</v>
      </c>
      <c r="D52" s="285">
        <v>51353380.494243227</v>
      </c>
      <c r="E52" s="285">
        <v>37732803.649816811</v>
      </c>
      <c r="F52" s="285">
        <v>25064154.878111456</v>
      </c>
      <c r="G52" s="285">
        <v>8030767.6301199049</v>
      </c>
      <c r="H52" s="285">
        <v>0</v>
      </c>
      <c r="I52" s="285">
        <v>0</v>
      </c>
      <c r="J52" s="285">
        <v>0</v>
      </c>
      <c r="K52" s="283">
        <v>0</v>
      </c>
      <c r="L52" s="162">
        <v>0</v>
      </c>
      <c r="M52" s="162">
        <v>0</v>
      </c>
      <c r="N52" s="162">
        <v>0</v>
      </c>
    </row>
    <row r="53" spans="1:14" x14ac:dyDescent="0.3">
      <c r="A53" s="154" t="s">
        <v>36</v>
      </c>
      <c r="B53" s="282">
        <f t="shared" si="1"/>
        <v>1650298478.8815436</v>
      </c>
      <c r="C53" s="285">
        <v>564440348.47892714</v>
      </c>
      <c r="D53" s="285">
        <v>345067186.75151658</v>
      </c>
      <c r="E53" s="285">
        <v>360082220.67726672</v>
      </c>
      <c r="F53" s="285">
        <v>301137355.22751492</v>
      </c>
      <c r="G53" s="285">
        <v>60183107.339562729</v>
      </c>
      <c r="H53" s="285">
        <v>14894216.306755535</v>
      </c>
      <c r="I53" s="285">
        <v>4494044.0999999996</v>
      </c>
      <c r="J53" s="285">
        <v>0</v>
      </c>
      <c r="K53" s="283">
        <v>0</v>
      </c>
      <c r="L53" s="162">
        <v>0</v>
      </c>
      <c r="M53" s="162">
        <v>0</v>
      </c>
      <c r="N53" s="162">
        <v>0</v>
      </c>
    </row>
    <row r="54" spans="1:14" x14ac:dyDescent="0.3">
      <c r="A54" s="154" t="s">
        <v>37</v>
      </c>
      <c r="B54" s="282">
        <f t="shared" si="1"/>
        <v>99967326.516251862</v>
      </c>
      <c r="C54" s="285">
        <v>37077542.125862852</v>
      </c>
      <c r="D54" s="285">
        <v>21059964.17603929</v>
      </c>
      <c r="E54" s="285">
        <v>25615890.817035656</v>
      </c>
      <c r="F54" s="285">
        <v>16213929.397314057</v>
      </c>
      <c r="G54" s="285">
        <v>0</v>
      </c>
      <c r="H54" s="285">
        <v>0</v>
      </c>
      <c r="I54" s="285">
        <v>0</v>
      </c>
      <c r="J54" s="285">
        <v>0</v>
      </c>
      <c r="K54" s="283">
        <v>0</v>
      </c>
      <c r="L54" s="162">
        <v>0</v>
      </c>
      <c r="M54" s="162">
        <v>0</v>
      </c>
      <c r="N54" s="162">
        <v>0</v>
      </c>
    </row>
    <row r="55" spans="1:14" x14ac:dyDescent="0.3">
      <c r="A55" s="154" t="s">
        <v>144</v>
      </c>
      <c r="B55" s="282">
        <f t="shared" si="1"/>
        <v>3497651.3660817156</v>
      </c>
      <c r="C55" s="285">
        <v>1663597.1591311505</v>
      </c>
      <c r="D55" s="285">
        <v>0</v>
      </c>
      <c r="E55" s="285">
        <v>0</v>
      </c>
      <c r="F55" s="285">
        <v>1834054.2069505651</v>
      </c>
      <c r="G55" s="285">
        <v>0</v>
      </c>
      <c r="H55" s="285">
        <v>0</v>
      </c>
      <c r="I55" s="285">
        <v>0</v>
      </c>
      <c r="J55" s="285">
        <v>0</v>
      </c>
      <c r="K55" s="283">
        <v>0</v>
      </c>
      <c r="L55" s="162">
        <v>0</v>
      </c>
      <c r="M55" s="162">
        <v>0</v>
      </c>
      <c r="N55" s="162">
        <v>0</v>
      </c>
    </row>
    <row r="56" spans="1:14" x14ac:dyDescent="0.3">
      <c r="A56" s="154" t="s">
        <v>38</v>
      </c>
      <c r="B56" s="282">
        <f t="shared" si="1"/>
        <v>10104313.857409021</v>
      </c>
      <c r="C56" s="285">
        <v>3560405.5909967725</v>
      </c>
      <c r="D56" s="285">
        <v>0</v>
      </c>
      <c r="E56" s="285">
        <v>0</v>
      </c>
      <c r="F56" s="285">
        <v>3473633.5009816652</v>
      </c>
      <c r="G56" s="285">
        <v>3070274.7654305832</v>
      </c>
      <c r="H56" s="285">
        <v>0</v>
      </c>
      <c r="I56" s="285">
        <v>0</v>
      </c>
      <c r="J56" s="285">
        <v>0</v>
      </c>
      <c r="K56" s="283">
        <v>0</v>
      </c>
      <c r="L56" s="162">
        <v>0</v>
      </c>
      <c r="M56" s="162">
        <v>0</v>
      </c>
      <c r="N56" s="162">
        <v>0</v>
      </c>
    </row>
    <row r="57" spans="1:14" x14ac:dyDescent="0.3">
      <c r="A57" s="154" t="s">
        <v>39</v>
      </c>
      <c r="B57" s="282">
        <f t="shared" si="1"/>
        <v>962394.95239860425</v>
      </c>
      <c r="C57" s="285">
        <v>962394.95239860425</v>
      </c>
      <c r="D57" s="285">
        <v>0</v>
      </c>
      <c r="E57" s="285">
        <v>0</v>
      </c>
      <c r="F57" s="285">
        <v>0</v>
      </c>
      <c r="G57" s="285">
        <v>0</v>
      </c>
      <c r="H57" s="285">
        <v>0</v>
      </c>
      <c r="I57" s="285">
        <v>0</v>
      </c>
      <c r="J57" s="285">
        <v>0</v>
      </c>
      <c r="K57" s="283">
        <v>0</v>
      </c>
      <c r="L57" s="162">
        <v>0</v>
      </c>
      <c r="M57" s="162">
        <v>0</v>
      </c>
      <c r="N57" s="162">
        <v>0</v>
      </c>
    </row>
    <row r="58" spans="1:14" x14ac:dyDescent="0.3">
      <c r="A58" s="154" t="s">
        <v>40</v>
      </c>
      <c r="B58" s="282">
        <f t="shared" si="1"/>
        <v>1121682376.8915615</v>
      </c>
      <c r="C58" s="285">
        <v>327643501.50359768</v>
      </c>
      <c r="D58" s="285">
        <v>179224025.04208165</v>
      </c>
      <c r="E58" s="285">
        <v>236372726.94710255</v>
      </c>
      <c r="F58" s="285">
        <v>235753357.77857396</v>
      </c>
      <c r="G58" s="285">
        <v>128664091.62696129</v>
      </c>
      <c r="H58" s="285">
        <v>14024673.993244465</v>
      </c>
      <c r="I58" s="285">
        <v>0</v>
      </c>
      <c r="J58" s="285">
        <v>0</v>
      </c>
      <c r="K58" s="283">
        <v>0</v>
      </c>
      <c r="L58" s="162">
        <v>0</v>
      </c>
      <c r="M58" s="162">
        <v>0</v>
      </c>
      <c r="N58" s="162">
        <v>0</v>
      </c>
    </row>
    <row r="59" spans="1:14" x14ac:dyDescent="0.3">
      <c r="A59" s="154" t="s">
        <v>41</v>
      </c>
      <c r="B59" s="282">
        <f t="shared" si="1"/>
        <v>16538754.886789979</v>
      </c>
      <c r="C59" s="285">
        <v>5243629.5944138998</v>
      </c>
      <c r="D59" s="285">
        <v>2724777.4515768001</v>
      </c>
      <c r="E59" s="285">
        <v>2576067.6176371714</v>
      </c>
      <c r="F59" s="285">
        <v>5994280.223162109</v>
      </c>
      <c r="G59" s="285">
        <v>0</v>
      </c>
      <c r="H59" s="285">
        <v>0</v>
      </c>
      <c r="I59" s="285">
        <v>0</v>
      </c>
      <c r="J59" s="285">
        <v>0</v>
      </c>
      <c r="K59" s="283">
        <v>0</v>
      </c>
      <c r="L59" s="162">
        <v>0</v>
      </c>
      <c r="M59" s="162">
        <v>0</v>
      </c>
      <c r="N59" s="162">
        <v>0</v>
      </c>
    </row>
    <row r="60" spans="1:14" x14ac:dyDescent="0.3">
      <c r="A60" s="154" t="s">
        <v>145</v>
      </c>
      <c r="B60" s="282">
        <f t="shared" si="1"/>
        <v>20386517.531105809</v>
      </c>
      <c r="C60" s="285">
        <v>1314931.686970108</v>
      </c>
      <c r="D60" s="285">
        <v>1703773.532225929</v>
      </c>
      <c r="E60" s="285">
        <v>4736652.9281421816</v>
      </c>
      <c r="F60" s="285">
        <v>7269166.5737675875</v>
      </c>
      <c r="G60" s="285">
        <v>0</v>
      </c>
      <c r="H60" s="285">
        <v>0</v>
      </c>
      <c r="I60" s="285">
        <v>0</v>
      </c>
      <c r="J60" s="285">
        <v>0</v>
      </c>
      <c r="K60" s="283">
        <v>5361992.8100000005</v>
      </c>
      <c r="L60" s="162"/>
      <c r="M60" s="162"/>
      <c r="N60" s="162"/>
    </row>
    <row r="61" spans="1:14" ht="14" thickBot="1" x14ac:dyDescent="0.35">
      <c r="A61" s="154" t="s">
        <v>165</v>
      </c>
      <c r="B61" s="289">
        <f t="shared" si="1"/>
        <v>0</v>
      </c>
      <c r="C61" s="284">
        <v>0</v>
      </c>
      <c r="D61" s="168"/>
      <c r="E61" s="168">
        <v>0</v>
      </c>
      <c r="F61" s="168"/>
      <c r="G61" s="168">
        <v>0</v>
      </c>
      <c r="H61" s="168">
        <v>0</v>
      </c>
      <c r="I61" s="168">
        <v>0</v>
      </c>
      <c r="J61" s="168">
        <v>0</v>
      </c>
      <c r="K61" s="292">
        <v>0</v>
      </c>
      <c r="L61" s="168">
        <v>0</v>
      </c>
      <c r="M61" s="168">
        <v>0</v>
      </c>
      <c r="N61" s="168">
        <v>0</v>
      </c>
    </row>
    <row r="62" spans="1:14" ht="14" thickTop="1" x14ac:dyDescent="0.3">
      <c r="A62" s="45" t="s">
        <v>1</v>
      </c>
      <c r="B62" s="20">
        <f>SUM(C62:N62)</f>
        <v>3713012173.2300005</v>
      </c>
      <c r="C62" s="20">
        <f t="shared" ref="C62:M62" si="2">SUM(C43:C61)</f>
        <v>1169122688.6300001</v>
      </c>
      <c r="D62" s="20">
        <f t="shared" si="2"/>
        <v>737592836.94000006</v>
      </c>
      <c r="E62" s="20">
        <f t="shared" si="2"/>
        <v>803552251.37000012</v>
      </c>
      <c r="F62" s="20">
        <f t="shared" si="2"/>
        <v>730552768.74999988</v>
      </c>
      <c r="G62" s="20">
        <f t="shared" si="2"/>
        <v>229712981.23000002</v>
      </c>
      <c r="H62" s="20">
        <f t="shared" si="2"/>
        <v>28918890.300000001</v>
      </c>
      <c r="I62" s="24">
        <f t="shared" si="2"/>
        <v>4494044.0999999996</v>
      </c>
      <c r="J62" s="24">
        <f t="shared" si="2"/>
        <v>1501054</v>
      </c>
      <c r="K62" s="24">
        <f t="shared" si="2"/>
        <v>7564657.9100000001</v>
      </c>
      <c r="L62" s="24">
        <f t="shared" si="2"/>
        <v>0</v>
      </c>
      <c r="M62" s="24">
        <f t="shared" si="2"/>
        <v>0</v>
      </c>
      <c r="N62" s="24">
        <f>SUM(N43:N61)</f>
        <v>0</v>
      </c>
    </row>
    <row r="63" spans="1:14" x14ac:dyDescent="0.3">
      <c r="A63" s="37"/>
      <c r="B63" s="38"/>
      <c r="C63" s="38"/>
      <c r="D63" s="38"/>
      <c r="E63" s="38"/>
      <c r="F63" s="38"/>
      <c r="G63" s="38"/>
      <c r="H63" s="38"/>
      <c r="I63" s="39"/>
      <c r="J63" s="39"/>
      <c r="K63" s="39"/>
      <c r="L63" s="39"/>
      <c r="M63" s="39"/>
      <c r="N63" s="39"/>
    </row>
    <row r="64" spans="1:14" x14ac:dyDescent="0.3">
      <c r="A64" s="37"/>
      <c r="B64" s="38"/>
      <c r="C64" s="38"/>
      <c r="D64" s="38"/>
      <c r="E64" s="38"/>
      <c r="F64" s="38"/>
      <c r="G64" s="38"/>
      <c r="H64" s="38"/>
      <c r="I64" s="39"/>
      <c r="J64" s="39"/>
      <c r="K64" s="39"/>
      <c r="L64" s="39"/>
      <c r="M64" s="39"/>
      <c r="N64" s="39"/>
    </row>
    <row r="66" spans="1:16" x14ac:dyDescent="0.3">
      <c r="A66" s="164" t="s">
        <v>88</v>
      </c>
      <c r="B66" s="164"/>
      <c r="C66" s="164"/>
      <c r="D66" s="164"/>
      <c r="E66" s="164"/>
      <c r="F66" s="164"/>
      <c r="G66" s="164"/>
      <c r="H66" s="164"/>
      <c r="I66" s="164"/>
      <c r="J66" s="164"/>
      <c r="K66" s="164"/>
      <c r="L66" s="164"/>
      <c r="M66" s="164"/>
      <c r="N66" s="164"/>
    </row>
    <row r="67" spans="1:16" s="69" customFormat="1" x14ac:dyDescent="0.3">
      <c r="A67" s="108"/>
      <c r="B67" s="109" t="s">
        <v>1</v>
      </c>
      <c r="C67" s="110" t="s">
        <v>18</v>
      </c>
      <c r="D67" s="110" t="s">
        <v>19</v>
      </c>
      <c r="E67" s="111" t="s">
        <v>20</v>
      </c>
      <c r="F67" s="112" t="s">
        <v>21</v>
      </c>
      <c r="G67" s="159" t="s">
        <v>138</v>
      </c>
      <c r="H67" s="159" t="s">
        <v>139</v>
      </c>
      <c r="I67" s="112" t="s">
        <v>22</v>
      </c>
      <c r="J67" s="112" t="s">
        <v>23</v>
      </c>
      <c r="K67" s="112" t="s">
        <v>24</v>
      </c>
      <c r="L67" s="112" t="s">
        <v>25</v>
      </c>
      <c r="M67" s="112" t="s">
        <v>26</v>
      </c>
      <c r="N67" s="110" t="s">
        <v>27</v>
      </c>
    </row>
    <row r="68" spans="1:16" x14ac:dyDescent="0.3">
      <c r="A68" s="12"/>
      <c r="B68" s="11"/>
      <c r="C68" s="13"/>
      <c r="D68" s="13"/>
      <c r="E68" s="17"/>
      <c r="F68" s="13"/>
      <c r="G68" s="13"/>
      <c r="H68" s="13"/>
      <c r="I68" s="13"/>
      <c r="J68" s="13"/>
      <c r="K68" s="13"/>
      <c r="L68" s="13"/>
      <c r="M68" s="13"/>
      <c r="N68" s="13"/>
    </row>
    <row r="69" spans="1:16" ht="27" x14ac:dyDescent="0.3">
      <c r="A69" s="16" t="s">
        <v>42</v>
      </c>
      <c r="B69" s="25" t="s">
        <v>4</v>
      </c>
      <c r="C69" s="15" t="s">
        <v>4</v>
      </c>
      <c r="D69" s="15" t="s">
        <v>4</v>
      </c>
      <c r="E69" s="14" t="s">
        <v>4</v>
      </c>
      <c r="F69" s="15" t="s">
        <v>4</v>
      </c>
      <c r="G69" s="15" t="s">
        <v>4</v>
      </c>
      <c r="H69" s="15" t="s">
        <v>4</v>
      </c>
      <c r="I69" s="15" t="s">
        <v>4</v>
      </c>
      <c r="J69" s="15" t="s">
        <v>4</v>
      </c>
      <c r="K69" s="15" t="s">
        <v>4</v>
      </c>
      <c r="L69" s="15" t="s">
        <v>4</v>
      </c>
      <c r="M69" s="15" t="s">
        <v>4</v>
      </c>
      <c r="N69" s="15" t="s">
        <v>4</v>
      </c>
    </row>
    <row r="70" spans="1:16" x14ac:dyDescent="0.3">
      <c r="A70" s="41" t="s">
        <v>182</v>
      </c>
      <c r="B70" s="137">
        <v>3713012173.2300005</v>
      </c>
      <c r="C70" s="137">
        <v>1169122688.6300001</v>
      </c>
      <c r="D70" s="137">
        <v>737592836.94000006</v>
      </c>
      <c r="E70" s="137">
        <v>803552251.37000012</v>
      </c>
      <c r="F70" s="137">
        <v>730552768.75</v>
      </c>
      <c r="G70" s="137">
        <v>229712981.23000002</v>
      </c>
      <c r="H70" s="137">
        <v>28918890.300000001</v>
      </c>
      <c r="I70" s="50">
        <v>4494044.0999999996</v>
      </c>
      <c r="J70" s="50">
        <v>1501054</v>
      </c>
      <c r="K70" s="50">
        <v>7564657.9100000001</v>
      </c>
      <c r="L70" s="50">
        <v>0</v>
      </c>
      <c r="M70" s="50">
        <v>0</v>
      </c>
      <c r="N70" s="50">
        <v>0</v>
      </c>
    </row>
    <row r="71" spans="1:16" x14ac:dyDescent="0.3">
      <c r="A71" s="49" t="s">
        <v>183</v>
      </c>
      <c r="B71" s="51"/>
      <c r="C71" s="33"/>
      <c r="D71" s="33"/>
      <c r="E71" s="33"/>
      <c r="F71" s="33"/>
      <c r="G71" s="33"/>
      <c r="H71" s="33"/>
      <c r="I71" s="27"/>
      <c r="J71" s="27"/>
      <c r="K71" s="27"/>
      <c r="L71" s="27"/>
      <c r="M71" s="27"/>
      <c r="N71" s="27"/>
      <c r="O71" s="70"/>
    </row>
    <row r="72" spans="1:16" x14ac:dyDescent="0.3">
      <c r="A72" s="42" t="s">
        <v>184</v>
      </c>
      <c r="B72" s="21"/>
      <c r="C72" s="31"/>
      <c r="D72" s="31"/>
      <c r="E72" s="32"/>
      <c r="F72" s="33"/>
      <c r="G72" s="33"/>
      <c r="H72" s="33"/>
      <c r="I72" s="27"/>
      <c r="J72" s="27"/>
      <c r="K72" s="27"/>
      <c r="L72" s="27"/>
      <c r="M72" s="27"/>
      <c r="N72" s="28"/>
    </row>
    <row r="73" spans="1:16" ht="14" thickBot="1" x14ac:dyDescent="0.35">
      <c r="A73" s="42" t="s">
        <v>185</v>
      </c>
      <c r="B73" s="21"/>
      <c r="C73" s="31"/>
      <c r="D73" s="31"/>
      <c r="E73" s="32"/>
      <c r="F73" s="33"/>
      <c r="G73" s="33"/>
      <c r="H73" s="33"/>
      <c r="I73" s="27"/>
      <c r="J73" s="27"/>
      <c r="K73" s="27"/>
      <c r="L73" s="27"/>
      <c r="M73" s="27"/>
      <c r="N73" s="28"/>
    </row>
    <row r="74" spans="1:16" ht="14" thickTop="1" x14ac:dyDescent="0.3">
      <c r="A74" s="44" t="s">
        <v>1</v>
      </c>
      <c r="B74" s="22">
        <f t="shared" ref="B74:N74" si="3">SUM(B70:B73)</f>
        <v>3713012173.2300005</v>
      </c>
      <c r="C74" s="22">
        <f t="shared" si="3"/>
        <v>1169122688.6300001</v>
      </c>
      <c r="D74" s="22">
        <f t="shared" si="3"/>
        <v>737592836.94000006</v>
      </c>
      <c r="E74" s="22">
        <f t="shared" si="3"/>
        <v>803552251.37000012</v>
      </c>
      <c r="F74" s="22">
        <f t="shared" si="3"/>
        <v>730552768.75</v>
      </c>
      <c r="G74" s="22">
        <f t="shared" si="3"/>
        <v>229712981.23000002</v>
      </c>
      <c r="H74" s="22">
        <f t="shared" si="3"/>
        <v>28918890.300000001</v>
      </c>
      <c r="I74" s="22">
        <f t="shared" si="3"/>
        <v>4494044.0999999996</v>
      </c>
      <c r="J74" s="22">
        <f t="shared" si="3"/>
        <v>1501054</v>
      </c>
      <c r="K74" s="22">
        <f t="shared" si="3"/>
        <v>7564657.9100000001</v>
      </c>
      <c r="L74" s="22">
        <f t="shared" si="3"/>
        <v>0</v>
      </c>
      <c r="M74" s="22">
        <f t="shared" si="3"/>
        <v>0</v>
      </c>
      <c r="N74" s="23">
        <f t="shared" si="3"/>
        <v>0</v>
      </c>
    </row>
    <row r="75" spans="1:16" x14ac:dyDescent="0.3">
      <c r="A75" s="26"/>
      <c r="B75" s="40"/>
      <c r="C75" s="40"/>
      <c r="D75" s="40"/>
      <c r="E75" s="40"/>
      <c r="F75" s="40"/>
      <c r="G75" s="40"/>
      <c r="H75" s="40"/>
      <c r="I75" s="40"/>
      <c r="J75" s="40"/>
      <c r="K75" s="40"/>
      <c r="L75" s="40"/>
      <c r="M75" s="40"/>
      <c r="N75" s="40"/>
    </row>
    <row r="77" spans="1:16" x14ac:dyDescent="0.3">
      <c r="A77" s="164" t="s">
        <v>89</v>
      </c>
      <c r="B77" s="164"/>
      <c r="C77" s="164"/>
      <c r="D77" s="164"/>
      <c r="E77" s="164"/>
      <c r="F77" s="164"/>
      <c r="G77" s="164"/>
      <c r="H77" s="164"/>
      <c r="I77" s="164"/>
      <c r="J77" s="164"/>
      <c r="K77" s="164"/>
      <c r="L77" s="164"/>
      <c r="M77" s="164"/>
      <c r="N77" s="164"/>
    </row>
    <row r="78" spans="1:16" x14ac:dyDescent="0.3">
      <c r="A78" s="108"/>
      <c r="B78" s="109" t="s">
        <v>1</v>
      </c>
      <c r="C78" s="110" t="s">
        <v>18</v>
      </c>
      <c r="D78" s="110" t="s">
        <v>19</v>
      </c>
      <c r="E78" s="111" t="s">
        <v>20</v>
      </c>
      <c r="F78" s="112" t="s">
        <v>21</v>
      </c>
      <c r="G78" s="159" t="s">
        <v>138</v>
      </c>
      <c r="H78" s="159" t="s">
        <v>139</v>
      </c>
      <c r="I78" s="112" t="s">
        <v>22</v>
      </c>
      <c r="J78" s="112" t="s">
        <v>23</v>
      </c>
      <c r="K78" s="112" t="s">
        <v>24</v>
      </c>
      <c r="L78" s="112" t="s">
        <v>25</v>
      </c>
      <c r="M78" s="112" t="s">
        <v>26</v>
      </c>
      <c r="N78" s="110" t="s">
        <v>27</v>
      </c>
    </row>
    <row r="79" spans="1:16" x14ac:dyDescent="0.3">
      <c r="A79" s="46"/>
      <c r="B79" s="11"/>
      <c r="C79" s="13"/>
      <c r="D79" s="13"/>
      <c r="E79" s="17"/>
      <c r="F79" s="13"/>
      <c r="G79" s="13"/>
      <c r="H79" s="13"/>
      <c r="I79" s="13"/>
      <c r="J79" s="13"/>
      <c r="K79" s="13"/>
      <c r="L79" s="13"/>
      <c r="M79" s="13"/>
      <c r="N79" s="13"/>
      <c r="O79" s="69"/>
      <c r="P79" s="69"/>
    </row>
    <row r="80" spans="1:16" ht="27" x14ac:dyDescent="0.3">
      <c r="A80" s="47" t="s">
        <v>42</v>
      </c>
      <c r="B80" s="25" t="s">
        <v>4</v>
      </c>
      <c r="C80" s="15" t="s">
        <v>4</v>
      </c>
      <c r="D80" s="15" t="s">
        <v>4</v>
      </c>
      <c r="E80" s="14" t="s">
        <v>4</v>
      </c>
      <c r="F80" s="15" t="s">
        <v>4</v>
      </c>
      <c r="G80" s="15" t="s">
        <v>4</v>
      </c>
      <c r="H80" s="15" t="s">
        <v>4</v>
      </c>
      <c r="I80" s="15" t="s">
        <v>4</v>
      </c>
      <c r="J80" s="15" t="s">
        <v>4</v>
      </c>
      <c r="K80" s="15" t="s">
        <v>4</v>
      </c>
      <c r="L80" s="15" t="s">
        <v>4</v>
      </c>
      <c r="M80" s="15" t="s">
        <v>4</v>
      </c>
      <c r="N80" s="15" t="s">
        <v>4</v>
      </c>
    </row>
    <row r="81" spans="1:15" x14ac:dyDescent="0.3">
      <c r="A81" s="42" t="s">
        <v>62</v>
      </c>
      <c r="B81" s="71">
        <f>SUM(C81:N81)</f>
        <v>601805034.03000009</v>
      </c>
      <c r="C81" s="72">
        <v>139699294.59000003</v>
      </c>
      <c r="D81" s="73">
        <v>105478492.60000001</v>
      </c>
      <c r="E81" s="73">
        <v>118751656.16999999</v>
      </c>
      <c r="F81" s="73">
        <v>150206503.24000001</v>
      </c>
      <c r="G81" s="73">
        <v>78053817.330000013</v>
      </c>
      <c r="H81" s="78">
        <v>6164075</v>
      </c>
      <c r="I81" s="74">
        <v>0</v>
      </c>
      <c r="J81" s="75">
        <v>0</v>
      </c>
      <c r="K81" s="71">
        <v>3451195.1</v>
      </c>
      <c r="L81" s="76">
        <v>0</v>
      </c>
      <c r="M81" s="76"/>
      <c r="N81" s="71"/>
    </row>
    <row r="82" spans="1:15" x14ac:dyDescent="0.3">
      <c r="A82" s="42" t="s">
        <v>63</v>
      </c>
      <c r="B82" s="75">
        <f t="shared" ref="B82:B85" si="4">SUM(C82:N82)</f>
        <v>940566791.38</v>
      </c>
      <c r="C82" s="77">
        <v>232312429.70000005</v>
      </c>
      <c r="D82" s="78">
        <v>181583761.41000003</v>
      </c>
      <c r="E82" s="78">
        <v>206736677.40999997</v>
      </c>
      <c r="F82" s="78">
        <v>229126681.13</v>
      </c>
      <c r="G82" s="78">
        <v>77978984.5</v>
      </c>
      <c r="H82" s="78">
        <v>12828257.23</v>
      </c>
      <c r="I82" s="74">
        <v>0</v>
      </c>
      <c r="J82" s="75">
        <v>0</v>
      </c>
      <c r="K82" s="75">
        <v>0</v>
      </c>
      <c r="L82" s="74">
        <v>0</v>
      </c>
      <c r="M82" s="74"/>
      <c r="N82" s="75"/>
    </row>
    <row r="83" spans="1:15" x14ac:dyDescent="0.3">
      <c r="A83" s="42" t="s">
        <v>64</v>
      </c>
      <c r="B83" s="75">
        <f t="shared" si="4"/>
        <v>854388967.87</v>
      </c>
      <c r="C83" s="77">
        <v>249358420.82000002</v>
      </c>
      <c r="D83" s="78">
        <v>145481557.22999999</v>
      </c>
      <c r="E83" s="78">
        <v>210276064.94999996</v>
      </c>
      <c r="F83" s="78">
        <v>191184083.78000003</v>
      </c>
      <c r="G83" s="78">
        <v>48304844.920000002</v>
      </c>
      <c r="H83" s="78">
        <v>5289952.07</v>
      </c>
      <c r="I83" s="74">
        <v>4494044.0999999996</v>
      </c>
      <c r="J83" s="75">
        <v>0</v>
      </c>
      <c r="K83" s="75">
        <v>0</v>
      </c>
      <c r="L83" s="74">
        <v>0</v>
      </c>
      <c r="M83" s="74"/>
      <c r="N83" s="75"/>
    </row>
    <row r="84" spans="1:15" x14ac:dyDescent="0.3">
      <c r="A84" s="42" t="s">
        <v>65</v>
      </c>
      <c r="B84" s="75">
        <f t="shared" si="4"/>
        <v>842107829.89999998</v>
      </c>
      <c r="C84" s="77">
        <v>304209458.34000003</v>
      </c>
      <c r="D84" s="78">
        <v>190953713.28999993</v>
      </c>
      <c r="E84" s="78">
        <v>204423490.23000002</v>
      </c>
      <c r="F84" s="78">
        <v>122038394.51999998</v>
      </c>
      <c r="G84" s="78">
        <v>16680413.52</v>
      </c>
      <c r="H84" s="78">
        <v>2301306</v>
      </c>
      <c r="I84" s="74">
        <v>0</v>
      </c>
      <c r="J84" s="75">
        <v>1501054</v>
      </c>
      <c r="K84" s="75">
        <v>0</v>
      </c>
      <c r="L84" s="74">
        <v>0</v>
      </c>
      <c r="M84" s="74"/>
      <c r="N84" s="75"/>
    </row>
    <row r="85" spans="1:15" ht="14" thickBot="1" x14ac:dyDescent="0.35">
      <c r="A85" s="43" t="s">
        <v>66</v>
      </c>
      <c r="B85" s="79">
        <f t="shared" si="4"/>
        <v>474143550.04999989</v>
      </c>
      <c r="C85" s="80">
        <v>243543085.17999995</v>
      </c>
      <c r="D85" s="80">
        <v>114095312.40999997</v>
      </c>
      <c r="E85" s="80">
        <v>63364362.609999999</v>
      </c>
      <c r="F85" s="80">
        <v>37997106.079999998</v>
      </c>
      <c r="G85" s="80">
        <v>8694920.9600000009</v>
      </c>
      <c r="H85" s="80">
        <v>2335300</v>
      </c>
      <c r="I85" s="81">
        <v>0</v>
      </c>
      <c r="J85" s="79">
        <v>0</v>
      </c>
      <c r="K85" s="79">
        <v>4113462.81</v>
      </c>
      <c r="L85" s="81">
        <v>0</v>
      </c>
      <c r="M85" s="81"/>
      <c r="N85" s="79"/>
    </row>
    <row r="86" spans="1:15" ht="14" thickTop="1" x14ac:dyDescent="0.3">
      <c r="A86" s="42" t="s">
        <v>1</v>
      </c>
      <c r="B86" s="82">
        <f>SUM(B81:B85)</f>
        <v>3713012173.23</v>
      </c>
      <c r="C86" s="82">
        <f>SUM(C81:C85)</f>
        <v>1169122688.6300001</v>
      </c>
      <c r="D86" s="82">
        <f t="shared" ref="D86:N86" si="5">SUM(D81:D85)</f>
        <v>737592836.93999994</v>
      </c>
      <c r="E86" s="82">
        <f t="shared" si="5"/>
        <v>803552251.36999989</v>
      </c>
      <c r="F86" s="82">
        <f t="shared" si="5"/>
        <v>730552768.75000012</v>
      </c>
      <c r="G86" s="82">
        <f t="shared" si="5"/>
        <v>229712981.23000002</v>
      </c>
      <c r="H86" s="82">
        <f t="shared" si="5"/>
        <v>28918890.300000001</v>
      </c>
      <c r="I86" s="82">
        <f t="shared" si="5"/>
        <v>4494044.0999999996</v>
      </c>
      <c r="J86" s="82">
        <f t="shared" si="5"/>
        <v>1501054</v>
      </c>
      <c r="K86" s="82">
        <f t="shared" si="5"/>
        <v>7564657.9100000001</v>
      </c>
      <c r="L86" s="82">
        <f t="shared" si="5"/>
        <v>0</v>
      </c>
      <c r="M86" s="82">
        <f t="shared" si="5"/>
        <v>0</v>
      </c>
      <c r="N86" s="82">
        <f t="shared" si="5"/>
        <v>0</v>
      </c>
      <c r="O86" s="70"/>
    </row>
    <row r="87" spans="1:15" x14ac:dyDescent="0.3">
      <c r="A87" s="26"/>
      <c r="B87" s="83"/>
      <c r="C87" s="83"/>
      <c r="D87" s="83"/>
      <c r="E87" s="83"/>
      <c r="F87" s="83"/>
      <c r="G87" s="83"/>
      <c r="H87" s="83"/>
      <c r="I87" s="83"/>
      <c r="J87" s="83"/>
      <c r="K87" s="83"/>
      <c r="L87" s="83"/>
      <c r="M87" s="83"/>
      <c r="N87" s="83"/>
      <c r="O87" s="67"/>
    </row>
    <row r="88" spans="1:15" x14ac:dyDescent="0.3">
      <c r="A88" s="67"/>
    </row>
    <row r="89" spans="1:15" x14ac:dyDescent="0.3">
      <c r="A89" s="164" t="s">
        <v>90</v>
      </c>
      <c r="B89" s="164"/>
      <c r="C89" s="164"/>
      <c r="D89" s="164"/>
      <c r="E89" s="164"/>
      <c r="F89" s="164"/>
      <c r="G89" s="164"/>
      <c r="H89" s="164"/>
      <c r="I89" s="164"/>
      <c r="J89" s="164"/>
      <c r="K89" s="164"/>
      <c r="L89" s="164"/>
      <c r="M89" s="164"/>
      <c r="N89" s="164"/>
    </row>
    <row r="90" spans="1:15" x14ac:dyDescent="0.3">
      <c r="A90" s="108"/>
      <c r="B90" s="109" t="s">
        <v>1</v>
      </c>
      <c r="C90" s="110" t="s">
        <v>18</v>
      </c>
      <c r="D90" s="110" t="s">
        <v>19</v>
      </c>
      <c r="E90" s="111" t="s">
        <v>20</v>
      </c>
      <c r="F90" s="112" t="s">
        <v>21</v>
      </c>
      <c r="G90" s="159" t="s">
        <v>138</v>
      </c>
      <c r="H90" s="159" t="s">
        <v>139</v>
      </c>
      <c r="I90" s="112" t="s">
        <v>22</v>
      </c>
      <c r="J90" s="112" t="s">
        <v>23</v>
      </c>
      <c r="K90" s="112" t="s">
        <v>24</v>
      </c>
      <c r="L90" s="112" t="s">
        <v>25</v>
      </c>
      <c r="M90" s="112" t="s">
        <v>26</v>
      </c>
      <c r="N90" s="110" t="s">
        <v>27</v>
      </c>
    </row>
    <row r="91" spans="1:15" x14ac:dyDescent="0.3">
      <c r="A91" s="46"/>
      <c r="B91" s="11"/>
      <c r="C91" s="13"/>
      <c r="D91" s="13"/>
      <c r="E91" s="17"/>
      <c r="F91" s="13"/>
      <c r="G91" s="13"/>
      <c r="H91" s="13"/>
      <c r="I91" s="13"/>
      <c r="J91" s="13"/>
      <c r="K91" s="13"/>
      <c r="L91" s="13"/>
      <c r="M91" s="13"/>
      <c r="N91" s="13"/>
    </row>
    <row r="92" spans="1:15" ht="27" x14ac:dyDescent="0.3">
      <c r="A92" s="47"/>
      <c r="B92" s="25" t="s">
        <v>4</v>
      </c>
      <c r="C92" s="15" t="s">
        <v>4</v>
      </c>
      <c r="D92" s="15" t="s">
        <v>4</v>
      </c>
      <c r="E92" s="14" t="s">
        <v>4</v>
      </c>
      <c r="F92" s="15" t="s">
        <v>4</v>
      </c>
      <c r="G92" s="15" t="s">
        <v>4</v>
      </c>
      <c r="H92" s="15" t="s">
        <v>4</v>
      </c>
      <c r="I92" s="15" t="s">
        <v>4</v>
      </c>
      <c r="J92" s="15" t="s">
        <v>4</v>
      </c>
      <c r="K92" s="15" t="s">
        <v>4</v>
      </c>
      <c r="L92" s="15" t="s">
        <v>4</v>
      </c>
      <c r="M92" s="15" t="s">
        <v>4</v>
      </c>
      <c r="N92" s="15" t="s">
        <v>4</v>
      </c>
    </row>
    <row r="93" spans="1:15" x14ac:dyDescent="0.3">
      <c r="A93" s="42" t="str">
        <f>INDEX([2]Language!$D$6:$K$1231,318,'[2]Front Page'!$B$10)</f>
        <v>Monthly</v>
      </c>
      <c r="B93" s="140">
        <f t="shared" ref="B93:B96" si="6">SUM(C93:N93)</f>
        <v>3693206571.5100002</v>
      </c>
      <c r="C93" s="138">
        <v>1158779885.9099996</v>
      </c>
      <c r="D93" s="85">
        <v>732995376.94000041</v>
      </c>
      <c r="E93" s="85">
        <v>798686912.37000012</v>
      </c>
      <c r="F93" s="85">
        <v>730552768.75000024</v>
      </c>
      <c r="G93" s="85">
        <v>229712981.22999996</v>
      </c>
      <c r="H93" s="85">
        <v>28918890.300000001</v>
      </c>
      <c r="I93" s="86">
        <v>4494044.0999999996</v>
      </c>
      <c r="J93" s="86">
        <v>1501054</v>
      </c>
      <c r="K93" s="86">
        <v>7564657.9100000001</v>
      </c>
      <c r="L93" s="86">
        <v>0</v>
      </c>
      <c r="M93" s="86">
        <v>0</v>
      </c>
      <c r="N93" s="87">
        <v>0</v>
      </c>
    </row>
    <row r="94" spans="1:15" x14ac:dyDescent="0.3">
      <c r="A94" s="42" t="str">
        <f>INDEX([2]Language!$D$6:$K$1231,319,'[2]Front Page'!$B$10)</f>
        <v>Quarterly / Semi-annually</v>
      </c>
      <c r="B94" s="88">
        <f t="shared" si="6"/>
        <v>15738848</v>
      </c>
      <c r="C94" s="89">
        <v>6276049</v>
      </c>
      <c r="D94" s="90">
        <v>4597460</v>
      </c>
      <c r="E94" s="90">
        <v>4865339</v>
      </c>
      <c r="F94" s="90">
        <v>0</v>
      </c>
      <c r="G94" s="90">
        <v>0</v>
      </c>
      <c r="H94" s="90">
        <v>0</v>
      </c>
      <c r="I94" s="91">
        <v>0</v>
      </c>
      <c r="J94" s="91">
        <v>0</v>
      </c>
      <c r="K94" s="91">
        <v>0</v>
      </c>
      <c r="L94" s="91">
        <v>0</v>
      </c>
      <c r="M94" s="91">
        <v>0</v>
      </c>
      <c r="N94" s="92">
        <v>0</v>
      </c>
    </row>
    <row r="95" spans="1:15" x14ac:dyDescent="0.3">
      <c r="A95" s="42" t="str">
        <f>INDEX([2]Language!$D$6:$K$1231,320,'[2]Front Page'!$B$10)</f>
        <v>Annually</v>
      </c>
      <c r="B95" s="88">
        <f t="shared" si="6"/>
        <v>4066753.7199999997</v>
      </c>
      <c r="C95" s="89">
        <v>4066753.7199999997</v>
      </c>
      <c r="D95" s="90">
        <v>0</v>
      </c>
      <c r="E95" s="90">
        <v>0</v>
      </c>
      <c r="F95" s="90">
        <v>0</v>
      </c>
      <c r="G95" s="90">
        <v>0</v>
      </c>
      <c r="H95" s="90">
        <v>0</v>
      </c>
      <c r="I95" s="91">
        <v>0</v>
      </c>
      <c r="J95" s="91">
        <v>0</v>
      </c>
      <c r="K95" s="91">
        <v>0</v>
      </c>
      <c r="L95" s="91">
        <v>0</v>
      </c>
      <c r="M95" s="91">
        <v>0</v>
      </c>
      <c r="N95" s="92">
        <v>0</v>
      </c>
    </row>
    <row r="96" spans="1:15" ht="14" thickBot="1" x14ac:dyDescent="0.35">
      <c r="A96" s="43" t="str">
        <f>INDEX([2]Language!$D$6:$K$1231,321,'[2]Front Page'!$B$10)</f>
        <v>BULLET</v>
      </c>
      <c r="B96" s="148">
        <f t="shared" si="6"/>
        <v>0</v>
      </c>
      <c r="C96" s="89">
        <v>0</v>
      </c>
      <c r="D96" s="90">
        <v>0</v>
      </c>
      <c r="E96" s="90">
        <v>0</v>
      </c>
      <c r="F96" s="90">
        <v>0</v>
      </c>
      <c r="G96" s="90">
        <v>0</v>
      </c>
      <c r="H96" s="90">
        <v>0</v>
      </c>
      <c r="I96" s="91">
        <v>0</v>
      </c>
      <c r="J96" s="91">
        <v>0</v>
      </c>
      <c r="K96" s="91">
        <v>0</v>
      </c>
      <c r="L96" s="91">
        <v>0</v>
      </c>
      <c r="M96" s="91">
        <v>0</v>
      </c>
      <c r="N96" s="96">
        <v>0</v>
      </c>
    </row>
    <row r="97" spans="1:15" ht="14" thickTop="1" x14ac:dyDescent="0.3">
      <c r="A97" s="42" t="s">
        <v>1</v>
      </c>
      <c r="B97" s="139">
        <f t="shared" ref="B97:N97" si="7">SUM(B93:B96)</f>
        <v>3713012173.23</v>
      </c>
      <c r="C97" s="97">
        <f t="shared" si="7"/>
        <v>1169122688.6299996</v>
      </c>
      <c r="D97" s="97">
        <f t="shared" si="7"/>
        <v>737592836.94000041</v>
      </c>
      <c r="E97" s="97">
        <f t="shared" si="7"/>
        <v>803552251.37000012</v>
      </c>
      <c r="F97" s="97">
        <f t="shared" si="7"/>
        <v>730552768.75000024</v>
      </c>
      <c r="G97" s="97">
        <f t="shared" si="7"/>
        <v>229712981.22999996</v>
      </c>
      <c r="H97" s="97">
        <f t="shared" si="7"/>
        <v>28918890.300000001</v>
      </c>
      <c r="I97" s="97">
        <f t="shared" si="7"/>
        <v>4494044.0999999996</v>
      </c>
      <c r="J97" s="97">
        <f t="shared" si="7"/>
        <v>1501054</v>
      </c>
      <c r="K97" s="97">
        <f t="shared" si="7"/>
        <v>7564657.9100000001</v>
      </c>
      <c r="L97" s="97">
        <f t="shared" si="7"/>
        <v>0</v>
      </c>
      <c r="M97" s="97">
        <f t="shared" si="7"/>
        <v>0</v>
      </c>
      <c r="N97" s="98">
        <f t="shared" si="7"/>
        <v>0</v>
      </c>
    </row>
    <row r="98" spans="1:15" x14ac:dyDescent="0.3">
      <c r="A98" s="26"/>
      <c r="B98" s="99"/>
      <c r="C98" s="99"/>
      <c r="D98" s="99"/>
      <c r="E98" s="99"/>
      <c r="F98" s="99"/>
      <c r="G98" s="99"/>
      <c r="H98" s="99"/>
      <c r="I98" s="99"/>
      <c r="J98" s="99"/>
      <c r="K98" s="99"/>
      <c r="L98" s="99"/>
      <c r="M98" s="99"/>
      <c r="N98" s="99"/>
    </row>
    <row r="100" spans="1:15" x14ac:dyDescent="0.3">
      <c r="A100" s="164" t="s">
        <v>91</v>
      </c>
      <c r="B100" s="164"/>
      <c r="C100" s="164"/>
      <c r="D100" s="164"/>
      <c r="E100" s="164"/>
      <c r="F100" s="164"/>
      <c r="G100" s="164"/>
      <c r="H100" s="164"/>
      <c r="I100" s="164"/>
      <c r="J100" s="164"/>
      <c r="K100" s="164"/>
      <c r="L100" s="164"/>
      <c r="M100" s="164"/>
      <c r="N100" s="164"/>
    </row>
    <row r="101" spans="1:15" x14ac:dyDescent="0.3">
      <c r="A101" s="113"/>
      <c r="B101" s="109" t="s">
        <v>1</v>
      </c>
      <c r="C101" s="110" t="s">
        <v>18</v>
      </c>
      <c r="D101" s="110" t="s">
        <v>19</v>
      </c>
      <c r="E101" s="111" t="s">
        <v>20</v>
      </c>
      <c r="F101" s="112" t="s">
        <v>21</v>
      </c>
      <c r="G101" s="159" t="s">
        <v>138</v>
      </c>
      <c r="H101" s="159" t="s">
        <v>139</v>
      </c>
      <c r="I101" s="112" t="s">
        <v>22</v>
      </c>
      <c r="J101" s="112" t="s">
        <v>23</v>
      </c>
      <c r="K101" s="112" t="s">
        <v>24</v>
      </c>
      <c r="L101" s="112" t="s">
        <v>25</v>
      </c>
      <c r="M101" s="112" t="s">
        <v>26</v>
      </c>
      <c r="N101" s="110" t="s">
        <v>27</v>
      </c>
    </row>
    <row r="102" spans="1:15" x14ac:dyDescent="0.3">
      <c r="A102" s="48"/>
      <c r="B102" s="11"/>
      <c r="C102" s="13"/>
      <c r="D102" s="13"/>
      <c r="E102" s="17"/>
      <c r="F102" s="13"/>
      <c r="G102" s="13"/>
      <c r="H102" s="13"/>
      <c r="I102" s="13"/>
      <c r="J102" s="13"/>
      <c r="K102" s="13"/>
      <c r="L102" s="13"/>
      <c r="M102" s="13"/>
      <c r="N102" s="13"/>
    </row>
    <row r="103" spans="1:15" ht="27" x14ac:dyDescent="0.3">
      <c r="A103" s="47"/>
      <c r="B103" s="25" t="s">
        <v>4</v>
      </c>
      <c r="C103" s="15" t="s">
        <v>4</v>
      </c>
      <c r="D103" s="15" t="s">
        <v>4</v>
      </c>
      <c r="E103" s="14" t="s">
        <v>4</v>
      </c>
      <c r="F103" s="15" t="s">
        <v>4</v>
      </c>
      <c r="G103" s="15" t="s">
        <v>4</v>
      </c>
      <c r="H103" s="15" t="s">
        <v>4</v>
      </c>
      <c r="I103" s="15" t="s">
        <v>4</v>
      </c>
      <c r="J103" s="15" t="s">
        <v>4</v>
      </c>
      <c r="K103" s="15" t="s">
        <v>4</v>
      </c>
      <c r="L103" s="15" t="s">
        <v>4</v>
      </c>
      <c r="M103" s="15" t="s">
        <v>4</v>
      </c>
      <c r="N103" s="15" t="s">
        <v>4</v>
      </c>
    </row>
    <row r="104" spans="1:15" x14ac:dyDescent="0.3">
      <c r="A104" s="42" t="s">
        <v>57</v>
      </c>
      <c r="B104" s="137">
        <v>3713012173.2300005</v>
      </c>
      <c r="C104" s="137">
        <v>1169122688.6300001</v>
      </c>
      <c r="D104" s="137">
        <v>737592836.94000006</v>
      </c>
      <c r="E104" s="137">
        <v>803552251.37000012</v>
      </c>
      <c r="F104" s="137">
        <v>730552768.75</v>
      </c>
      <c r="G104" s="137">
        <v>229712981.23000002</v>
      </c>
      <c r="H104" s="137">
        <v>28918890.300000001</v>
      </c>
      <c r="I104" s="50">
        <v>4494044.0999999996</v>
      </c>
      <c r="J104" s="50">
        <v>1501054</v>
      </c>
      <c r="K104" s="50">
        <v>7564657.9100000001</v>
      </c>
      <c r="L104" s="50">
        <v>0</v>
      </c>
      <c r="M104" s="50">
        <v>0</v>
      </c>
      <c r="N104" s="50">
        <v>0</v>
      </c>
      <c r="O104" s="70"/>
    </row>
    <row r="105" spans="1:15" x14ac:dyDescent="0.3">
      <c r="A105" s="42" t="s">
        <v>67</v>
      </c>
      <c r="B105" s="100"/>
      <c r="C105" s="90"/>
      <c r="D105" s="90"/>
      <c r="E105" s="90"/>
      <c r="F105" s="90"/>
      <c r="G105" s="90"/>
      <c r="H105" s="90"/>
      <c r="I105" s="91"/>
      <c r="J105" s="91"/>
      <c r="K105" s="91"/>
      <c r="L105" s="91"/>
      <c r="M105" s="91"/>
      <c r="N105" s="91"/>
      <c r="O105" s="70"/>
    </row>
    <row r="106" spans="1:15" x14ac:dyDescent="0.3">
      <c r="A106" s="42" t="s">
        <v>68</v>
      </c>
      <c r="B106" s="100"/>
      <c r="C106" s="90"/>
      <c r="D106" s="90"/>
      <c r="E106" s="90"/>
      <c r="F106" s="90"/>
      <c r="G106" s="90"/>
      <c r="H106" s="90"/>
      <c r="I106" s="91"/>
      <c r="J106" s="91"/>
      <c r="K106" s="91"/>
      <c r="L106" s="91"/>
      <c r="M106" s="91"/>
      <c r="N106" s="91"/>
      <c r="O106" s="70"/>
    </row>
    <row r="107" spans="1:15" ht="14" thickBot="1" x14ac:dyDescent="0.35">
      <c r="A107" s="43" t="s">
        <v>69</v>
      </c>
      <c r="B107" s="93"/>
      <c r="C107" s="94"/>
      <c r="D107" s="94"/>
      <c r="E107" s="94"/>
      <c r="F107" s="94"/>
      <c r="G107" s="94"/>
      <c r="H107" s="94"/>
      <c r="I107" s="95"/>
      <c r="J107" s="95"/>
      <c r="K107" s="95"/>
      <c r="L107" s="95"/>
      <c r="M107" s="95"/>
      <c r="N107" s="95"/>
      <c r="O107" s="70"/>
    </row>
    <row r="108" spans="1:15" ht="14" thickTop="1" x14ac:dyDescent="0.3">
      <c r="A108" s="42" t="s">
        <v>1</v>
      </c>
      <c r="B108" s="97">
        <f>SUM(B104:B107)</f>
        <v>3713012173.2300005</v>
      </c>
      <c r="C108" s="97">
        <f>SUM(C104:C107)</f>
        <v>1169122688.6300001</v>
      </c>
      <c r="D108" s="97">
        <f t="shared" ref="D108:N108" si="8">SUM(D104:D107)</f>
        <v>737592836.94000006</v>
      </c>
      <c r="E108" s="97">
        <f t="shared" si="8"/>
        <v>803552251.37000012</v>
      </c>
      <c r="F108" s="97">
        <f t="shared" si="8"/>
        <v>730552768.75</v>
      </c>
      <c r="G108" s="97">
        <f t="shared" si="8"/>
        <v>229712981.23000002</v>
      </c>
      <c r="H108" s="97">
        <f t="shared" si="8"/>
        <v>28918890.300000001</v>
      </c>
      <c r="I108" s="97">
        <f t="shared" si="8"/>
        <v>4494044.0999999996</v>
      </c>
      <c r="J108" s="97">
        <f t="shared" si="8"/>
        <v>1501054</v>
      </c>
      <c r="K108" s="97">
        <f t="shared" si="8"/>
        <v>7564657.9100000001</v>
      </c>
      <c r="L108" s="97">
        <f t="shared" si="8"/>
        <v>0</v>
      </c>
      <c r="M108" s="97">
        <f t="shared" si="8"/>
        <v>0</v>
      </c>
      <c r="N108" s="97">
        <f t="shared" si="8"/>
        <v>0</v>
      </c>
      <c r="O108" s="70"/>
    </row>
    <row r="109" spans="1:15" x14ac:dyDescent="0.3">
      <c r="A109" s="26"/>
      <c r="B109" s="99"/>
      <c r="C109" s="99"/>
      <c r="D109" s="99"/>
      <c r="E109" s="99"/>
      <c r="F109" s="99"/>
      <c r="G109" s="99"/>
      <c r="H109" s="99"/>
      <c r="I109" s="99"/>
      <c r="J109" s="99"/>
      <c r="K109" s="99"/>
      <c r="L109" s="99"/>
      <c r="M109" s="99"/>
      <c r="N109" s="99"/>
      <c r="O109" s="67"/>
    </row>
    <row r="111" spans="1:15" x14ac:dyDescent="0.3">
      <c r="A111" s="164" t="s">
        <v>70</v>
      </c>
      <c r="B111" s="164"/>
      <c r="C111" s="164"/>
      <c r="D111" s="164"/>
      <c r="E111" s="164"/>
      <c r="F111" s="164"/>
      <c r="G111" s="164"/>
      <c r="H111" s="164"/>
      <c r="I111" s="164"/>
    </row>
    <row r="112" spans="1:15" ht="40.5" x14ac:dyDescent="0.3">
      <c r="A112" s="109" t="s">
        <v>50</v>
      </c>
      <c r="B112" s="109" t="s">
        <v>51</v>
      </c>
      <c r="C112" s="149" t="s">
        <v>52</v>
      </c>
      <c r="D112" s="149" t="s">
        <v>59</v>
      </c>
      <c r="E112" s="149" t="s">
        <v>61</v>
      </c>
      <c r="F112" s="149" t="s">
        <v>53</v>
      </c>
      <c r="G112" s="150" t="s">
        <v>60</v>
      </c>
      <c r="H112" s="151" t="s">
        <v>54</v>
      </c>
      <c r="I112" s="150" t="s">
        <v>55</v>
      </c>
    </row>
    <row r="113" spans="1:9" x14ac:dyDescent="0.3">
      <c r="A113" s="41" t="s">
        <v>92</v>
      </c>
      <c r="B113" s="144" t="s">
        <v>3</v>
      </c>
      <c r="C113" s="86">
        <v>850000000</v>
      </c>
      <c r="D113" s="276" t="s">
        <v>100</v>
      </c>
      <c r="E113" s="276">
        <v>42150</v>
      </c>
      <c r="F113" s="146" t="s">
        <v>56</v>
      </c>
      <c r="G113" s="146" t="s">
        <v>108</v>
      </c>
      <c r="H113" s="276" t="s">
        <v>110</v>
      </c>
      <c r="I113" s="147">
        <v>2</v>
      </c>
    </row>
    <row r="114" spans="1:9" x14ac:dyDescent="0.3">
      <c r="A114" s="42" t="s">
        <v>97</v>
      </c>
      <c r="B114" s="70" t="s">
        <v>3</v>
      </c>
      <c r="C114" s="91">
        <v>350000000</v>
      </c>
      <c r="D114" s="277" t="s">
        <v>105</v>
      </c>
      <c r="E114" s="277">
        <v>42479</v>
      </c>
      <c r="F114" s="101" t="s">
        <v>56</v>
      </c>
      <c r="G114" s="101" t="s">
        <v>108</v>
      </c>
      <c r="H114" s="277" t="s">
        <v>114</v>
      </c>
      <c r="I114" s="143">
        <v>3</v>
      </c>
    </row>
    <row r="115" spans="1:9" x14ac:dyDescent="0.3">
      <c r="A115" s="42" t="s">
        <v>98</v>
      </c>
      <c r="B115" s="70" t="s">
        <v>3</v>
      </c>
      <c r="C115" s="91">
        <v>5000000</v>
      </c>
      <c r="D115" s="277" t="s">
        <v>106</v>
      </c>
      <c r="E115" s="277">
        <v>41965</v>
      </c>
      <c r="F115" s="101" t="s">
        <v>58</v>
      </c>
      <c r="G115" s="101" t="s">
        <v>109</v>
      </c>
      <c r="H115" s="277" t="s">
        <v>115</v>
      </c>
      <c r="I115" s="143">
        <v>4</v>
      </c>
    </row>
    <row r="116" spans="1:9" x14ac:dyDescent="0.3">
      <c r="A116" s="42" t="s">
        <v>96</v>
      </c>
      <c r="B116" s="70" t="s">
        <v>3</v>
      </c>
      <c r="C116" s="91">
        <v>75000000</v>
      </c>
      <c r="D116" s="277" t="s">
        <v>104</v>
      </c>
      <c r="E116" s="277">
        <v>43173</v>
      </c>
      <c r="F116" s="101" t="s">
        <v>58</v>
      </c>
      <c r="G116" s="101" t="s">
        <v>109</v>
      </c>
      <c r="H116" s="277" t="s">
        <v>113</v>
      </c>
      <c r="I116" s="143">
        <v>5</v>
      </c>
    </row>
    <row r="117" spans="1:9" x14ac:dyDescent="0.3">
      <c r="A117" s="42" t="s">
        <v>99</v>
      </c>
      <c r="B117" s="70" t="s">
        <v>3</v>
      </c>
      <c r="C117" s="91">
        <v>300000000</v>
      </c>
      <c r="D117" s="277" t="s">
        <v>107</v>
      </c>
      <c r="E117" s="277">
        <v>42922</v>
      </c>
      <c r="F117" s="101" t="s">
        <v>56</v>
      </c>
      <c r="G117" s="101" t="s">
        <v>108</v>
      </c>
      <c r="H117" s="277" t="s">
        <v>116</v>
      </c>
      <c r="I117" s="143">
        <v>6</v>
      </c>
    </row>
    <row r="118" spans="1:9" x14ac:dyDescent="0.3">
      <c r="A118" s="42" t="s">
        <v>94</v>
      </c>
      <c r="B118" s="70" t="s">
        <v>3</v>
      </c>
      <c r="C118" s="91">
        <v>650000000</v>
      </c>
      <c r="D118" s="277" t="s">
        <v>102</v>
      </c>
      <c r="E118" s="277">
        <v>43357</v>
      </c>
      <c r="F118" s="101" t="s">
        <v>56</v>
      </c>
      <c r="G118" s="101" t="s">
        <v>108</v>
      </c>
      <c r="H118" s="277" t="s">
        <v>112</v>
      </c>
      <c r="I118" s="143">
        <v>7</v>
      </c>
    </row>
    <row r="119" spans="1:9" x14ac:dyDescent="0.3">
      <c r="A119" s="42" t="s">
        <v>95</v>
      </c>
      <c r="B119" s="70" t="s">
        <v>3</v>
      </c>
      <c r="C119" s="91">
        <v>400000000</v>
      </c>
      <c r="D119" s="277" t="s">
        <v>103</v>
      </c>
      <c r="E119" s="277">
        <v>42992</v>
      </c>
      <c r="F119" s="101" t="s">
        <v>56</v>
      </c>
      <c r="G119" s="101" t="s">
        <v>108</v>
      </c>
      <c r="H119" s="277" t="s">
        <v>112</v>
      </c>
      <c r="I119" s="143">
        <v>8</v>
      </c>
    </row>
    <row r="120" spans="1:9" x14ac:dyDescent="0.3">
      <c r="A120" s="42" t="s">
        <v>164</v>
      </c>
      <c r="B120" s="70" t="s">
        <v>3</v>
      </c>
      <c r="C120" s="91">
        <v>350000000</v>
      </c>
      <c r="D120" s="277">
        <f>E120-365</f>
        <v>43242</v>
      </c>
      <c r="E120" s="277">
        <v>43607</v>
      </c>
      <c r="F120" s="101" t="s">
        <v>56</v>
      </c>
      <c r="G120" s="101" t="s">
        <v>108</v>
      </c>
      <c r="H120" s="277">
        <v>41355</v>
      </c>
      <c r="I120" s="143">
        <v>9</v>
      </c>
    </row>
    <row r="121" spans="1:9" ht="14" thickBot="1" x14ac:dyDescent="0.35">
      <c r="A121" s="43" t="s">
        <v>167</v>
      </c>
      <c r="B121" s="169" t="s">
        <v>3</v>
      </c>
      <c r="C121" s="95">
        <v>300000000</v>
      </c>
      <c r="D121" s="275">
        <v>42464</v>
      </c>
      <c r="E121" s="275">
        <f>D121+365</f>
        <v>42829</v>
      </c>
      <c r="F121" s="171" t="s">
        <v>56</v>
      </c>
      <c r="G121" s="171" t="s">
        <v>108</v>
      </c>
      <c r="H121" s="278">
        <v>41367</v>
      </c>
      <c r="I121" s="172">
        <v>10</v>
      </c>
    </row>
    <row r="122" spans="1:9" s="67" customFormat="1" ht="14" thickTop="1" x14ac:dyDescent="0.3">
      <c r="A122" s="26"/>
      <c r="C122" s="104"/>
      <c r="D122" s="102"/>
      <c r="E122" s="102"/>
      <c r="F122" s="105"/>
      <c r="I122" s="102"/>
    </row>
    <row r="123" spans="1:9" s="67" customFormat="1" x14ac:dyDescent="0.3">
      <c r="A123" s="26"/>
      <c r="C123" s="104"/>
      <c r="D123" s="102"/>
      <c r="E123" s="102"/>
      <c r="F123" s="105"/>
      <c r="I123" s="102"/>
    </row>
    <row r="124" spans="1:9" s="67" customFormat="1" x14ac:dyDescent="0.3">
      <c r="A124" s="164" t="s">
        <v>118</v>
      </c>
      <c r="B124" s="164"/>
      <c r="C124" s="164"/>
      <c r="D124" s="164"/>
      <c r="E124" s="164"/>
      <c r="F124" s="164"/>
      <c r="I124" s="102"/>
    </row>
    <row r="125" spans="1:9" s="67" customFormat="1" x14ac:dyDescent="0.3">
      <c r="A125" s="136" t="s">
        <v>119</v>
      </c>
      <c r="B125" s="19" t="s">
        <v>50</v>
      </c>
      <c r="C125" s="19" t="s">
        <v>120</v>
      </c>
      <c r="D125" s="19" t="s">
        <v>51</v>
      </c>
      <c r="E125" s="63" t="s">
        <v>121</v>
      </c>
      <c r="F125" s="63" t="s">
        <v>166</v>
      </c>
      <c r="I125" s="102"/>
    </row>
    <row r="126" spans="1:9" s="67" customFormat="1" x14ac:dyDescent="0.3">
      <c r="A126" s="8" t="s">
        <v>123</v>
      </c>
      <c r="B126" s="125" t="s">
        <v>124</v>
      </c>
      <c r="C126" s="125" t="s">
        <v>125</v>
      </c>
      <c r="D126" s="125" t="s">
        <v>3</v>
      </c>
      <c r="E126" s="92">
        <v>45000000</v>
      </c>
      <c r="F126" s="64" t="s">
        <v>126</v>
      </c>
      <c r="I126" s="102"/>
    </row>
    <row r="127" spans="1:9" s="67" customFormat="1" x14ac:dyDescent="0.3">
      <c r="A127" s="7" t="s">
        <v>168</v>
      </c>
      <c r="B127" s="126" t="s">
        <v>130</v>
      </c>
      <c r="C127" s="126" t="s">
        <v>128</v>
      </c>
      <c r="D127" s="126" t="s">
        <v>3</v>
      </c>
      <c r="E127" s="92">
        <v>25000000</v>
      </c>
      <c r="F127" s="64" t="s">
        <v>131</v>
      </c>
      <c r="I127" s="102"/>
    </row>
    <row r="128" spans="1:9" s="67" customFormat="1" x14ac:dyDescent="0.3">
      <c r="A128" s="7" t="s">
        <v>169</v>
      </c>
      <c r="B128" s="126" t="s">
        <v>176</v>
      </c>
      <c r="C128" s="126" t="s">
        <v>128</v>
      </c>
      <c r="D128" s="126" t="s">
        <v>3</v>
      </c>
      <c r="E128" s="92">
        <v>25000000</v>
      </c>
      <c r="F128" s="64" t="s">
        <v>181</v>
      </c>
      <c r="I128" s="102"/>
    </row>
    <row r="129" spans="1:11" s="67" customFormat="1" x14ac:dyDescent="0.3">
      <c r="A129" s="7" t="s">
        <v>170</v>
      </c>
      <c r="B129" s="126" t="s">
        <v>177</v>
      </c>
      <c r="C129" s="126" t="s">
        <v>128</v>
      </c>
      <c r="D129" s="126" t="s">
        <v>3</v>
      </c>
      <c r="E129" s="92">
        <v>10000000</v>
      </c>
      <c r="F129" s="64" t="s">
        <v>181</v>
      </c>
      <c r="I129" s="102"/>
    </row>
    <row r="130" spans="1:11" s="67" customFormat="1" x14ac:dyDescent="0.3">
      <c r="A130" s="7" t="s">
        <v>171</v>
      </c>
      <c r="B130" s="126" t="s">
        <v>134</v>
      </c>
      <c r="C130" s="126" t="s">
        <v>128</v>
      </c>
      <c r="D130" s="126" t="s">
        <v>3</v>
      </c>
      <c r="E130" s="92">
        <v>25000000</v>
      </c>
      <c r="F130" s="64" t="s">
        <v>129</v>
      </c>
      <c r="I130" s="102"/>
    </row>
    <row r="131" spans="1:11" s="67" customFormat="1" x14ac:dyDescent="0.3">
      <c r="A131" s="7" t="s">
        <v>172</v>
      </c>
      <c r="B131" s="126" t="s">
        <v>178</v>
      </c>
      <c r="C131" s="126" t="s">
        <v>128</v>
      </c>
      <c r="D131" s="126" t="s">
        <v>3</v>
      </c>
      <c r="E131" s="92">
        <v>10000000</v>
      </c>
      <c r="F131" s="64" t="s">
        <v>181</v>
      </c>
      <c r="I131" s="102"/>
    </row>
    <row r="132" spans="1:11" s="67" customFormat="1" x14ac:dyDescent="0.3">
      <c r="A132" s="7" t="s">
        <v>173</v>
      </c>
      <c r="B132" s="126" t="s">
        <v>179</v>
      </c>
      <c r="C132" s="126" t="s">
        <v>128</v>
      </c>
      <c r="D132" s="126" t="s">
        <v>3</v>
      </c>
      <c r="E132" s="92">
        <v>30000000</v>
      </c>
      <c r="F132" s="64" t="s">
        <v>181</v>
      </c>
      <c r="I132" s="102"/>
    </row>
    <row r="133" spans="1:11" s="67" customFormat="1" x14ac:dyDescent="0.3">
      <c r="A133" s="7" t="s">
        <v>174</v>
      </c>
      <c r="B133" s="127" t="s">
        <v>180</v>
      </c>
      <c r="C133" s="126" t="s">
        <v>128</v>
      </c>
      <c r="D133" s="126" t="s">
        <v>3</v>
      </c>
      <c r="E133" s="92">
        <v>20000000</v>
      </c>
      <c r="F133" s="64" t="s">
        <v>181</v>
      </c>
      <c r="I133" s="102"/>
    </row>
    <row r="134" spans="1:11" s="67" customFormat="1" ht="14" thickBot="1" x14ac:dyDescent="0.35">
      <c r="A134" s="3" t="s">
        <v>175</v>
      </c>
      <c r="B134" s="128" t="s">
        <v>163</v>
      </c>
      <c r="C134" s="165" t="s">
        <v>128</v>
      </c>
      <c r="D134" s="128" t="s">
        <v>3</v>
      </c>
      <c r="E134" s="96">
        <v>25000000</v>
      </c>
      <c r="F134" s="65" t="s">
        <v>131</v>
      </c>
      <c r="I134" s="102"/>
    </row>
    <row r="135" spans="1:11" s="67" customFormat="1" ht="14" thickTop="1" x14ac:dyDescent="0.3">
      <c r="A135" s="5" t="s">
        <v>1</v>
      </c>
      <c r="B135" s="166"/>
      <c r="C135" s="166"/>
      <c r="D135" s="166"/>
      <c r="E135" s="103">
        <f>SUM(E126:E134)</f>
        <v>215000000</v>
      </c>
      <c r="F135" s="167"/>
      <c r="I135" s="102"/>
    </row>
    <row r="136" spans="1:11" s="67" customFormat="1" x14ac:dyDescent="0.3">
      <c r="A136" s="26"/>
      <c r="C136" s="104"/>
      <c r="D136" s="102"/>
      <c r="E136" s="102"/>
      <c r="F136" s="105"/>
      <c r="I136" s="102"/>
    </row>
    <row r="137" spans="1:11" x14ac:dyDescent="0.3">
      <c r="A137" s="67"/>
      <c r="B137" s="67"/>
      <c r="C137" s="67"/>
      <c r="D137" s="67"/>
      <c r="E137" s="67"/>
      <c r="F137" s="67"/>
      <c r="G137" s="67"/>
      <c r="H137" s="67"/>
      <c r="I137" s="67"/>
      <c r="J137" s="67"/>
      <c r="K137" s="67"/>
    </row>
    <row r="138" spans="1:11" x14ac:dyDescent="0.3">
      <c r="A138" s="164" t="s">
        <v>132</v>
      </c>
      <c r="B138" s="164"/>
      <c r="C138" s="164"/>
      <c r="D138" s="164"/>
      <c r="E138" s="164"/>
    </row>
    <row r="158" spans="1:1" x14ac:dyDescent="0.3">
      <c r="A158"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156"/>
  <sheetViews>
    <sheetView topLeftCell="A29" workbookViewId="0">
      <selection activeCell="C61" sqref="C61:N61"/>
    </sheetView>
  </sheetViews>
  <sheetFormatPr baseColWidth="10" defaultColWidth="11.453125" defaultRowHeight="13.5" x14ac:dyDescent="0.3"/>
  <cols>
    <col min="1" max="1" width="54" style="53" customWidth="1"/>
    <col min="2" max="3" width="23" style="53" bestFit="1" customWidth="1"/>
    <col min="4" max="4" width="26.179687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8" ht="15" x14ac:dyDescent="0.3">
      <c r="A1" s="124" t="s">
        <v>85</v>
      </c>
      <c r="B1" s="52"/>
      <c r="C1" s="52"/>
      <c r="D1" s="52"/>
      <c r="E1" s="52"/>
    </row>
    <row r="2" spans="1:8" x14ac:dyDescent="0.3">
      <c r="A2" s="52" t="s">
        <v>0</v>
      </c>
      <c r="B2" s="114">
        <v>41364</v>
      </c>
      <c r="E2" s="52"/>
    </row>
    <row r="3" spans="1:8" x14ac:dyDescent="0.3">
      <c r="A3" s="52" t="s">
        <v>2</v>
      </c>
      <c r="B3" s="115" t="s">
        <v>3</v>
      </c>
      <c r="E3" s="52"/>
      <c r="G3" s="54"/>
      <c r="H3" s="54"/>
    </row>
    <row r="4" spans="1:8" x14ac:dyDescent="0.3">
      <c r="A4" s="52"/>
      <c r="B4" s="52"/>
      <c r="C4" s="52"/>
      <c r="D4" s="52"/>
      <c r="E4" s="52"/>
      <c r="G4" s="55"/>
      <c r="H4" s="55"/>
    </row>
    <row r="5" spans="1:8" x14ac:dyDescent="0.3">
      <c r="A5" s="163" t="s">
        <v>72</v>
      </c>
      <c r="B5" s="164"/>
      <c r="C5" s="116"/>
      <c r="D5" s="116"/>
      <c r="E5" s="116"/>
      <c r="F5" s="116"/>
      <c r="G5" s="55"/>
      <c r="H5" s="55"/>
    </row>
    <row r="6" spans="1:8" ht="12.75" customHeight="1" x14ac:dyDescent="0.3">
      <c r="A6" s="106"/>
      <c r="B6" s="106" t="s">
        <v>1</v>
      </c>
      <c r="C6" s="59"/>
      <c r="D6" s="59"/>
      <c r="E6" s="117"/>
      <c r="F6" s="2"/>
      <c r="G6" s="2"/>
      <c r="H6" s="2"/>
    </row>
    <row r="7" spans="1:8" x14ac:dyDescent="0.3">
      <c r="A7" s="56" t="s">
        <v>77</v>
      </c>
      <c r="B7" s="286">
        <v>3708363841.8000002</v>
      </c>
      <c r="C7" s="121"/>
      <c r="D7" s="174"/>
      <c r="E7" s="119"/>
      <c r="F7" s="120"/>
      <c r="G7" s="55"/>
      <c r="H7" s="55"/>
    </row>
    <row r="8" spans="1:8" x14ac:dyDescent="0.3">
      <c r="A8" s="56" t="s">
        <v>78</v>
      </c>
      <c r="B8" s="123">
        <v>1298446.7233193277</v>
      </c>
      <c r="C8" s="121"/>
      <c r="D8" s="175"/>
      <c r="E8" s="119"/>
      <c r="F8" s="120"/>
      <c r="G8" s="55"/>
      <c r="H8" s="55"/>
    </row>
    <row r="9" spans="1:8" x14ac:dyDescent="0.3">
      <c r="A9" s="56" t="s">
        <v>73</v>
      </c>
      <c r="B9" s="123">
        <v>2856</v>
      </c>
      <c r="C9" s="121"/>
      <c r="D9" s="174"/>
      <c r="E9" s="119"/>
      <c r="F9" s="120"/>
      <c r="G9" s="55"/>
      <c r="H9" s="55"/>
    </row>
    <row r="10" spans="1:8" ht="13.5" customHeight="1" x14ac:dyDescent="0.3">
      <c r="A10" s="56" t="s">
        <v>79</v>
      </c>
      <c r="B10" s="56">
        <v>1.2687E-2</v>
      </c>
      <c r="C10" s="121"/>
      <c r="D10" s="118"/>
      <c r="E10" s="119"/>
      <c r="F10" s="120"/>
      <c r="G10" s="55"/>
      <c r="H10" s="55"/>
    </row>
    <row r="11" spans="1:8" x14ac:dyDescent="0.3">
      <c r="A11" s="56" t="s">
        <v>74</v>
      </c>
      <c r="B11" s="123">
        <v>31</v>
      </c>
      <c r="C11" s="121"/>
      <c r="D11" s="118"/>
      <c r="E11" s="119"/>
      <c r="F11" s="120"/>
      <c r="G11" s="55"/>
      <c r="H11" s="55"/>
    </row>
    <row r="12" spans="1:8" x14ac:dyDescent="0.3">
      <c r="A12" s="56" t="s">
        <v>81</v>
      </c>
      <c r="B12" s="123">
        <v>164</v>
      </c>
      <c r="C12" s="121"/>
      <c r="D12" s="118"/>
      <c r="E12" s="119"/>
      <c r="F12" s="120"/>
      <c r="G12" s="55"/>
      <c r="H12" s="55"/>
    </row>
    <row r="13" spans="1:8" x14ac:dyDescent="0.3">
      <c r="A13" s="56" t="s">
        <v>75</v>
      </c>
      <c r="B13" s="123">
        <v>2831</v>
      </c>
      <c r="C13" s="121"/>
      <c r="D13" s="118"/>
      <c r="E13" s="119"/>
      <c r="F13" s="120"/>
      <c r="G13" s="55"/>
      <c r="H13" s="55"/>
    </row>
    <row r="14" spans="1:8" x14ac:dyDescent="0.3">
      <c r="A14" s="56" t="s">
        <v>76</v>
      </c>
      <c r="B14" s="123">
        <v>3795</v>
      </c>
      <c r="C14" s="121"/>
      <c r="D14" s="118"/>
      <c r="E14" s="119"/>
      <c r="F14" s="120"/>
      <c r="G14" s="55"/>
      <c r="H14" s="55"/>
    </row>
    <row r="15" spans="1:8" x14ac:dyDescent="0.3">
      <c r="A15" s="56" t="s">
        <v>82</v>
      </c>
      <c r="B15" s="56">
        <v>0.47199999999999998</v>
      </c>
      <c r="C15" s="121"/>
      <c r="D15" s="118"/>
      <c r="E15" s="119"/>
      <c r="F15" s="120"/>
      <c r="G15" s="55"/>
      <c r="H15" s="55"/>
    </row>
    <row r="16" spans="1:8" x14ac:dyDescent="0.3">
      <c r="A16" s="56" t="s">
        <v>83</v>
      </c>
      <c r="B16" s="141">
        <v>1</v>
      </c>
      <c r="C16" s="121"/>
      <c r="D16" s="118"/>
      <c r="E16" s="119"/>
      <c r="F16" s="120"/>
      <c r="G16" s="55"/>
      <c r="H16" s="55"/>
    </row>
    <row r="17" spans="1:8" x14ac:dyDescent="0.3">
      <c r="A17" s="56" t="s">
        <v>86</v>
      </c>
      <c r="B17" s="141">
        <v>1</v>
      </c>
      <c r="C17" s="121"/>
      <c r="D17" s="118"/>
      <c r="E17" s="119"/>
      <c r="F17" s="120"/>
      <c r="G17" s="55"/>
      <c r="H17" s="55"/>
    </row>
    <row r="18" spans="1:8" x14ac:dyDescent="0.3">
      <c r="A18" s="56" t="s">
        <v>84</v>
      </c>
      <c r="B18" s="56">
        <v>0</v>
      </c>
      <c r="C18" s="121"/>
      <c r="D18" s="118"/>
      <c r="E18" s="119"/>
      <c r="F18" s="120"/>
      <c r="G18" s="55"/>
      <c r="H18" s="55"/>
    </row>
    <row r="19" spans="1:8" x14ac:dyDescent="0.3">
      <c r="A19" s="56" t="s">
        <v>49</v>
      </c>
      <c r="B19" s="123">
        <f>E133</f>
        <v>345000000</v>
      </c>
      <c r="C19" s="121"/>
      <c r="D19" s="121"/>
      <c r="E19" s="55"/>
      <c r="F19" s="122"/>
      <c r="G19" s="54"/>
      <c r="H19" s="54"/>
    </row>
    <row r="20" spans="1:8" x14ac:dyDescent="0.3">
      <c r="A20" s="57" t="s">
        <v>80</v>
      </c>
      <c r="B20" s="58">
        <f>B19+B7</f>
        <v>4053363841.8000002</v>
      </c>
      <c r="C20" s="59"/>
      <c r="D20" s="59"/>
      <c r="E20" s="61"/>
      <c r="F20" s="62"/>
      <c r="G20" s="54"/>
      <c r="H20" s="54"/>
    </row>
    <row r="21" spans="1:8" s="54" customFormat="1" x14ac:dyDescent="0.3">
      <c r="A21" s="59"/>
      <c r="B21" s="60"/>
      <c r="C21" s="59"/>
      <c r="D21" s="59"/>
      <c r="E21" s="61"/>
      <c r="F21" s="62"/>
    </row>
    <row r="23" spans="1:8" x14ac:dyDescent="0.3">
      <c r="A23" s="163" t="s">
        <v>71</v>
      </c>
      <c r="B23" s="164"/>
      <c r="C23" s="163"/>
      <c r="D23" s="164"/>
      <c r="E23" s="116"/>
      <c r="F23" s="116"/>
    </row>
    <row r="24" spans="1:8" x14ac:dyDescent="0.3">
      <c r="A24" s="106"/>
      <c r="B24" s="106"/>
      <c r="C24" s="106"/>
      <c r="D24" s="106"/>
      <c r="E24" s="117"/>
      <c r="F24" s="2"/>
    </row>
    <row r="25" spans="1:8" x14ac:dyDescent="0.3">
      <c r="A25" s="9" t="s">
        <v>16</v>
      </c>
      <c r="B25" s="10" t="s">
        <v>4</v>
      </c>
      <c r="C25" s="10" t="s">
        <v>5</v>
      </c>
      <c r="D25" s="63" t="s">
        <v>17</v>
      </c>
      <c r="F25" s="280">
        <f>B61-B7</f>
        <v>0</v>
      </c>
    </row>
    <row r="26" spans="1:8" ht="14.5" x14ac:dyDescent="0.35">
      <c r="A26" s="6" t="s">
        <v>6</v>
      </c>
      <c r="B26" s="126">
        <v>1191844468.6699996</v>
      </c>
      <c r="C26" s="129">
        <v>1662</v>
      </c>
      <c r="D26" s="64">
        <f>B26/$B$38</f>
        <v>0.32139361710837172</v>
      </c>
      <c r="E26" s="173"/>
    </row>
    <row r="27" spans="1:8" ht="14.5" x14ac:dyDescent="0.35">
      <c r="A27" s="6" t="s">
        <v>7</v>
      </c>
      <c r="B27" s="126">
        <v>753044719.52000058</v>
      </c>
      <c r="C27" s="129">
        <v>612</v>
      </c>
      <c r="D27" s="64">
        <f t="shared" ref="D27:D36" si="0">B27/$B$38</f>
        <v>0.20306656834257145</v>
      </c>
      <c r="E27" s="173"/>
    </row>
    <row r="28" spans="1:8" ht="14.5" x14ac:dyDescent="0.35">
      <c r="A28" s="6" t="s">
        <v>8</v>
      </c>
      <c r="B28" s="126">
        <v>831475078.42999935</v>
      </c>
      <c r="C28" s="129">
        <v>606</v>
      </c>
      <c r="D28" s="64">
        <f t="shared" si="0"/>
        <v>0.22421615405094938</v>
      </c>
      <c r="E28" s="173"/>
    </row>
    <row r="29" spans="1:8" ht="14.5" x14ac:dyDescent="0.35">
      <c r="A29" s="6" t="s">
        <v>9</v>
      </c>
      <c r="B29" s="126">
        <v>756437947.23000038</v>
      </c>
      <c r="C29" s="129">
        <v>482</v>
      </c>
      <c r="D29" s="64">
        <f t="shared" si="0"/>
        <v>0.20398158851177706</v>
      </c>
      <c r="E29" s="173"/>
    </row>
    <row r="30" spans="1:8" ht="14.5" x14ac:dyDescent="0.35">
      <c r="A30" s="6" t="s">
        <v>140</v>
      </c>
      <c r="B30" s="126">
        <v>157686406.18000001</v>
      </c>
      <c r="C30" s="129">
        <v>99</v>
      </c>
      <c r="D30" s="64">
        <f t="shared" si="0"/>
        <v>4.2521827120248455E-2</v>
      </c>
      <c r="E30" s="173"/>
    </row>
    <row r="31" spans="1:8" ht="14.5" x14ac:dyDescent="0.35">
      <c r="A31" s="6" t="s">
        <v>141</v>
      </c>
      <c r="B31" s="126">
        <v>9077895.0099999998</v>
      </c>
      <c r="C31" s="129">
        <v>6</v>
      </c>
      <c r="D31" s="64">
        <f t="shared" si="0"/>
        <v>2.4479515487869944E-3</v>
      </c>
      <c r="E31" s="173"/>
    </row>
    <row r="32" spans="1:8" ht="14.5" x14ac:dyDescent="0.35">
      <c r="A32" s="6" t="s">
        <v>10</v>
      </c>
      <c r="B32" s="126">
        <v>1382127</v>
      </c>
      <c r="C32" s="129">
        <v>1</v>
      </c>
      <c r="D32" s="64">
        <f t="shared" si="0"/>
        <v>3.7270533824672672E-4</v>
      </c>
      <c r="E32" s="173"/>
    </row>
    <row r="33" spans="1:14" ht="14.5" x14ac:dyDescent="0.35">
      <c r="A33" s="6" t="s">
        <v>11</v>
      </c>
      <c r="B33" s="134">
        <v>1526203</v>
      </c>
      <c r="C33" s="135">
        <v>1</v>
      </c>
      <c r="D33" s="64">
        <f t="shared" si="0"/>
        <v>4.1155697367041452E-4</v>
      </c>
      <c r="E33" s="173"/>
    </row>
    <row r="34" spans="1:14" ht="14.5" x14ac:dyDescent="0.35">
      <c r="A34" s="6" t="s">
        <v>12</v>
      </c>
      <c r="B34" s="130">
        <v>0</v>
      </c>
      <c r="C34" s="131"/>
      <c r="D34" s="64">
        <f t="shared" si="0"/>
        <v>0</v>
      </c>
      <c r="E34" s="173"/>
    </row>
    <row r="35" spans="1:14" ht="14.5" x14ac:dyDescent="0.35">
      <c r="A35" s="6" t="s">
        <v>13</v>
      </c>
      <c r="B35" s="130">
        <v>0</v>
      </c>
      <c r="C35" s="131"/>
      <c r="D35" s="64">
        <f t="shared" si="0"/>
        <v>0</v>
      </c>
      <c r="E35" s="173"/>
    </row>
    <row r="36" spans="1:14" ht="14.5" x14ac:dyDescent="0.35">
      <c r="A36" s="6" t="s">
        <v>14</v>
      </c>
      <c r="B36" s="130">
        <v>3086554.4</v>
      </c>
      <c r="C36" s="131">
        <v>1</v>
      </c>
      <c r="D36" s="64">
        <f t="shared" si="0"/>
        <v>8.3232242888600151E-4</v>
      </c>
      <c r="E36" s="173"/>
    </row>
    <row r="37" spans="1:14" ht="15" thickBot="1" x14ac:dyDescent="0.4">
      <c r="A37" s="4" t="s">
        <v>15</v>
      </c>
      <c r="B37" s="132">
        <v>2802442.36</v>
      </c>
      <c r="C37" s="132">
        <v>2</v>
      </c>
      <c r="D37" s="65">
        <f>B37/$B$38</f>
        <v>7.5570857649170811E-4</v>
      </c>
      <c r="E37" s="173"/>
    </row>
    <row r="38" spans="1:14" ht="15" thickTop="1" x14ac:dyDescent="0.35">
      <c r="A38" s="1" t="s">
        <v>1</v>
      </c>
      <c r="B38" s="18">
        <f>SUM(B26:B37)</f>
        <v>3708363841.8000002</v>
      </c>
      <c r="C38" s="133">
        <f>SUM(C26:C37)</f>
        <v>3472</v>
      </c>
      <c r="D38" s="66">
        <f>B38/$B$38</f>
        <v>1</v>
      </c>
      <c r="E38" s="173"/>
    </row>
    <row r="41" spans="1:14" x14ac:dyDescent="0.3">
      <c r="A41" s="164" t="s">
        <v>87</v>
      </c>
      <c r="B41" s="164"/>
      <c r="C41" s="164"/>
      <c r="D41" s="164"/>
      <c r="E41" s="164"/>
      <c r="F41" s="164"/>
      <c r="G41" s="164"/>
      <c r="H41" s="164"/>
      <c r="I41" s="164"/>
      <c r="J41" s="164"/>
      <c r="K41" s="164"/>
      <c r="L41" s="164"/>
      <c r="M41" s="164"/>
      <c r="N41" s="164"/>
    </row>
    <row r="42" spans="1:14" s="68" customFormat="1" x14ac:dyDescent="0.3">
      <c r="A42" s="107"/>
      <c r="B42" s="155" t="s">
        <v>1</v>
      </c>
      <c r="C42" s="281" t="s">
        <v>18</v>
      </c>
      <c r="D42" s="156" t="s">
        <v>19</v>
      </c>
      <c r="E42" s="157" t="s">
        <v>20</v>
      </c>
      <c r="F42" s="158" t="s">
        <v>21</v>
      </c>
      <c r="G42" s="159" t="s">
        <v>138</v>
      </c>
      <c r="H42" s="159" t="s">
        <v>139</v>
      </c>
      <c r="I42" s="159" t="s">
        <v>22</v>
      </c>
      <c r="J42" s="159" t="s">
        <v>23</v>
      </c>
      <c r="K42" s="159" t="s">
        <v>24</v>
      </c>
      <c r="L42" s="159" t="s">
        <v>25</v>
      </c>
      <c r="M42" s="159" t="s">
        <v>26</v>
      </c>
      <c r="N42" s="160" t="s">
        <v>27</v>
      </c>
    </row>
    <row r="43" spans="1:14" x14ac:dyDescent="0.3">
      <c r="A43" s="153" t="s">
        <v>28</v>
      </c>
      <c r="B43" s="161">
        <f t="shared" ref="B43:B60" si="1">SUM(C43:N43)</f>
        <v>124508414.91</v>
      </c>
      <c r="C43" s="279">
        <v>43852041.090000004</v>
      </c>
      <c r="D43" s="161">
        <v>40675908.689999998</v>
      </c>
      <c r="E43" s="161">
        <v>18650867.41</v>
      </c>
      <c r="F43" s="161">
        <v>19998077.719999999</v>
      </c>
      <c r="G43" s="161">
        <v>1331520</v>
      </c>
      <c r="H43" s="161">
        <v>0</v>
      </c>
      <c r="I43" s="161">
        <v>0</v>
      </c>
      <c r="J43" s="161">
        <v>0</v>
      </c>
      <c r="K43" s="161">
        <v>0</v>
      </c>
      <c r="L43" s="161">
        <v>0</v>
      </c>
      <c r="M43" s="161">
        <v>0</v>
      </c>
      <c r="N43" s="161">
        <v>0</v>
      </c>
    </row>
    <row r="44" spans="1:14" x14ac:dyDescent="0.3">
      <c r="A44" s="154" t="s">
        <v>29</v>
      </c>
      <c r="B44" s="162">
        <f>SUM(C44:N44)</f>
        <v>160624439.11000001</v>
      </c>
      <c r="C44" s="279">
        <v>41697551.329999998</v>
      </c>
      <c r="D44" s="162">
        <v>37943874.450000003</v>
      </c>
      <c r="E44" s="162">
        <v>37378991.149999999</v>
      </c>
      <c r="F44" s="162">
        <v>35023003.539999999</v>
      </c>
      <c r="G44" s="162">
        <v>7054815.6400000006</v>
      </c>
      <c r="H44" s="162">
        <v>0</v>
      </c>
      <c r="I44" s="162">
        <v>0</v>
      </c>
      <c r="J44" s="162">
        <v>1526203</v>
      </c>
      <c r="K44" s="162">
        <v>0</v>
      </c>
      <c r="L44" s="162">
        <v>0</v>
      </c>
      <c r="M44" s="162">
        <v>0</v>
      </c>
      <c r="N44" s="162">
        <v>0</v>
      </c>
    </row>
    <row r="45" spans="1:14" x14ac:dyDescent="0.3">
      <c r="A45" s="154" t="s">
        <v>30</v>
      </c>
      <c r="B45" s="162">
        <f t="shared" si="1"/>
        <v>13967848</v>
      </c>
      <c r="C45" s="279">
        <v>5947498</v>
      </c>
      <c r="D45" s="162">
        <v>4744584</v>
      </c>
      <c r="E45" s="162">
        <v>1986034</v>
      </c>
      <c r="F45" s="162">
        <v>1289732</v>
      </c>
      <c r="G45" s="162">
        <v>0</v>
      </c>
      <c r="H45" s="162">
        <v>0</v>
      </c>
      <c r="I45" s="162">
        <v>0</v>
      </c>
      <c r="J45" s="162">
        <v>0</v>
      </c>
      <c r="K45" s="162">
        <v>0</v>
      </c>
      <c r="L45" s="162">
        <v>0</v>
      </c>
      <c r="M45" s="162">
        <v>0</v>
      </c>
      <c r="N45" s="162">
        <v>0</v>
      </c>
    </row>
    <row r="46" spans="1:14" x14ac:dyDescent="0.3">
      <c r="A46" s="154" t="s">
        <v>142</v>
      </c>
      <c r="B46" s="162">
        <f t="shared" si="1"/>
        <v>1500000</v>
      </c>
      <c r="C46" s="279">
        <v>0</v>
      </c>
      <c r="D46" s="162">
        <v>0</v>
      </c>
      <c r="E46" s="162">
        <v>0</v>
      </c>
      <c r="F46" s="162">
        <v>0</v>
      </c>
      <c r="G46" s="162">
        <v>1500000</v>
      </c>
      <c r="H46" s="162">
        <v>0</v>
      </c>
      <c r="I46" s="162">
        <v>0</v>
      </c>
      <c r="J46" s="162">
        <v>0</v>
      </c>
      <c r="K46" s="162">
        <v>0</v>
      </c>
      <c r="L46" s="162">
        <v>0</v>
      </c>
      <c r="M46" s="162">
        <v>0</v>
      </c>
      <c r="N46" s="162">
        <v>0</v>
      </c>
    </row>
    <row r="47" spans="1:14" x14ac:dyDescent="0.3">
      <c r="A47" s="154" t="s">
        <v>31</v>
      </c>
      <c r="B47" s="162">
        <f t="shared" si="1"/>
        <v>1800000</v>
      </c>
      <c r="C47" s="279">
        <v>0</v>
      </c>
      <c r="D47" s="162">
        <v>0</v>
      </c>
      <c r="E47" s="162">
        <v>0</v>
      </c>
      <c r="F47" s="162">
        <v>0</v>
      </c>
      <c r="G47" s="162">
        <v>1800000</v>
      </c>
      <c r="H47" s="162">
        <v>0</v>
      </c>
      <c r="I47" s="162">
        <v>0</v>
      </c>
      <c r="J47" s="162">
        <v>0</v>
      </c>
      <c r="K47" s="162">
        <v>0</v>
      </c>
      <c r="L47" s="162">
        <v>0</v>
      </c>
      <c r="M47" s="162">
        <v>0</v>
      </c>
      <c r="N47" s="162">
        <v>0</v>
      </c>
    </row>
    <row r="48" spans="1:14" x14ac:dyDescent="0.3">
      <c r="A48" s="154" t="s">
        <v>32</v>
      </c>
      <c r="B48" s="162">
        <f t="shared" si="1"/>
        <v>310013426.15999997</v>
      </c>
      <c r="C48" s="279">
        <v>91858931.689999983</v>
      </c>
      <c r="D48" s="162">
        <v>53089443.309999995</v>
      </c>
      <c r="E48" s="162">
        <v>78003454.37999998</v>
      </c>
      <c r="F48" s="162">
        <v>78315935.780000001</v>
      </c>
      <c r="G48" s="162">
        <v>8745661</v>
      </c>
      <c r="H48" s="162">
        <v>0</v>
      </c>
      <c r="I48" s="162">
        <v>0</v>
      </c>
      <c r="J48" s="162">
        <v>0</v>
      </c>
      <c r="K48" s="162">
        <v>0</v>
      </c>
      <c r="L48" s="162">
        <v>0</v>
      </c>
      <c r="M48" s="162">
        <v>0</v>
      </c>
      <c r="N48" s="162">
        <v>0</v>
      </c>
    </row>
    <row r="49" spans="1:14" x14ac:dyDescent="0.3">
      <c r="A49" s="154" t="s">
        <v>143</v>
      </c>
      <c r="B49" s="162">
        <f t="shared" si="1"/>
        <v>6769461.21</v>
      </c>
      <c r="C49" s="279">
        <v>2073820</v>
      </c>
      <c r="D49" s="162">
        <v>1480685.21</v>
      </c>
      <c r="E49" s="162">
        <v>3214956</v>
      </c>
      <c r="F49" s="162">
        <v>0</v>
      </c>
      <c r="G49" s="162">
        <v>0</v>
      </c>
      <c r="H49" s="162">
        <v>0</v>
      </c>
      <c r="I49" s="162">
        <v>0</v>
      </c>
      <c r="J49" s="162">
        <v>0</v>
      </c>
      <c r="K49" s="162">
        <v>0</v>
      </c>
      <c r="L49" s="162">
        <v>0</v>
      </c>
      <c r="M49" s="162">
        <v>0</v>
      </c>
      <c r="N49" s="162">
        <v>0</v>
      </c>
    </row>
    <row r="50" spans="1:14" x14ac:dyDescent="0.3">
      <c r="A50" s="154" t="s">
        <v>33</v>
      </c>
      <c r="B50" s="162">
        <f t="shared" si="1"/>
        <v>2709241.84</v>
      </c>
      <c r="C50" s="279">
        <v>766613.11</v>
      </c>
      <c r="D50" s="162">
        <v>0</v>
      </c>
      <c r="E50" s="162">
        <v>1942628.73</v>
      </c>
      <c r="F50" s="162">
        <v>0</v>
      </c>
      <c r="G50" s="162">
        <v>0</v>
      </c>
      <c r="H50" s="162">
        <v>0</v>
      </c>
      <c r="I50" s="162">
        <v>0</v>
      </c>
      <c r="J50" s="162">
        <v>0</v>
      </c>
      <c r="K50" s="162">
        <v>0</v>
      </c>
      <c r="L50" s="162">
        <v>0</v>
      </c>
      <c r="M50" s="162">
        <v>0</v>
      </c>
      <c r="N50" s="162">
        <v>0</v>
      </c>
    </row>
    <row r="51" spans="1:14" x14ac:dyDescent="0.3">
      <c r="A51" s="154" t="s">
        <v>34</v>
      </c>
      <c r="B51" s="162">
        <f t="shared" si="1"/>
        <v>8063737</v>
      </c>
      <c r="C51" s="279">
        <v>2752412</v>
      </c>
      <c r="D51" s="162">
        <v>1383938</v>
      </c>
      <c r="E51" s="162">
        <v>0</v>
      </c>
      <c r="F51" s="162">
        <v>3927387</v>
      </c>
      <c r="G51" s="162">
        <v>0</v>
      </c>
      <c r="H51" s="162">
        <v>0</v>
      </c>
      <c r="I51" s="162">
        <v>0</v>
      </c>
      <c r="J51" s="162">
        <v>0</v>
      </c>
      <c r="K51" s="162">
        <v>0</v>
      </c>
      <c r="L51" s="162">
        <v>0</v>
      </c>
      <c r="M51" s="162">
        <v>0</v>
      </c>
      <c r="N51" s="162">
        <v>0</v>
      </c>
    </row>
    <row r="52" spans="1:14" x14ac:dyDescent="0.3">
      <c r="A52" s="154" t="s">
        <v>35</v>
      </c>
      <c r="B52" s="162">
        <f t="shared" si="1"/>
        <v>165621526.34999999</v>
      </c>
      <c r="C52" s="279">
        <v>42683396.630000003</v>
      </c>
      <c r="D52" s="162">
        <v>52429185.960000001</v>
      </c>
      <c r="E52" s="162">
        <v>39043989.759999998</v>
      </c>
      <c r="F52" s="162">
        <v>25952236</v>
      </c>
      <c r="G52" s="162">
        <v>5512718</v>
      </c>
      <c r="H52" s="162">
        <v>0</v>
      </c>
      <c r="I52" s="162">
        <v>0</v>
      </c>
      <c r="J52" s="162">
        <v>0</v>
      </c>
      <c r="K52" s="162">
        <v>0</v>
      </c>
      <c r="L52" s="162">
        <v>0</v>
      </c>
      <c r="M52" s="162">
        <v>0</v>
      </c>
      <c r="N52" s="162">
        <v>0</v>
      </c>
    </row>
    <row r="53" spans="1:14" x14ac:dyDescent="0.3">
      <c r="A53" s="154" t="s">
        <v>36</v>
      </c>
      <c r="B53" s="162">
        <f t="shared" si="1"/>
        <v>1665367590.0699999</v>
      </c>
      <c r="C53" s="279">
        <v>575410189</v>
      </c>
      <c r="D53" s="162">
        <v>352296022.74999988</v>
      </c>
      <c r="E53" s="162">
        <v>372594802.85000014</v>
      </c>
      <c r="F53" s="162">
        <v>311807349.95000011</v>
      </c>
      <c r="G53" s="162">
        <v>41312675.75</v>
      </c>
      <c r="H53" s="162">
        <v>4675426.01</v>
      </c>
      <c r="I53" s="162">
        <v>1382127</v>
      </c>
      <c r="J53" s="162">
        <v>0</v>
      </c>
      <c r="K53" s="162">
        <v>0</v>
      </c>
      <c r="L53" s="162">
        <v>0</v>
      </c>
      <c r="M53" s="162">
        <v>3086554.4</v>
      </c>
      <c r="N53" s="162">
        <v>2802442.36</v>
      </c>
    </row>
    <row r="54" spans="1:14" x14ac:dyDescent="0.3">
      <c r="A54" s="154" t="s">
        <v>37</v>
      </c>
      <c r="B54" s="162">
        <f t="shared" si="1"/>
        <v>102593741.13999999</v>
      </c>
      <c r="C54" s="279">
        <v>37798140.370000005</v>
      </c>
      <c r="D54" s="162">
        <v>21501150.800000001</v>
      </c>
      <c r="E54" s="162">
        <v>26506023.460000001</v>
      </c>
      <c r="F54" s="162">
        <v>16788426.509999998</v>
      </c>
      <c r="G54" s="162">
        <v>0</v>
      </c>
      <c r="H54" s="162">
        <v>0</v>
      </c>
      <c r="I54" s="162">
        <v>0</v>
      </c>
      <c r="J54" s="162">
        <v>0</v>
      </c>
      <c r="K54" s="162">
        <v>0</v>
      </c>
      <c r="L54" s="162">
        <v>0</v>
      </c>
      <c r="M54" s="162">
        <v>0</v>
      </c>
      <c r="N54" s="162">
        <v>0</v>
      </c>
    </row>
    <row r="55" spans="1:14" x14ac:dyDescent="0.3">
      <c r="A55" s="154" t="s">
        <v>144</v>
      </c>
      <c r="B55" s="162">
        <f t="shared" si="1"/>
        <v>3594968</v>
      </c>
      <c r="C55" s="279">
        <v>1695929</v>
      </c>
      <c r="D55" s="162">
        <v>0</v>
      </c>
      <c r="E55" s="162">
        <v>0</v>
      </c>
      <c r="F55" s="162">
        <v>1899039</v>
      </c>
      <c r="G55" s="162">
        <v>0</v>
      </c>
      <c r="H55" s="162">
        <v>0</v>
      </c>
      <c r="I55" s="162">
        <v>0</v>
      </c>
      <c r="J55" s="162">
        <v>0</v>
      </c>
      <c r="K55" s="162">
        <v>0</v>
      </c>
      <c r="L55" s="162">
        <v>0</v>
      </c>
      <c r="M55" s="162">
        <v>0</v>
      </c>
      <c r="N55" s="162">
        <v>0</v>
      </c>
    </row>
    <row r="56" spans="1:14" x14ac:dyDescent="0.3">
      <c r="A56" s="154" t="s">
        <v>38</v>
      </c>
      <c r="B56" s="162">
        <f t="shared" si="1"/>
        <v>9333903.2799999993</v>
      </c>
      <c r="C56" s="279">
        <v>3629601.71</v>
      </c>
      <c r="D56" s="162">
        <v>0</v>
      </c>
      <c r="E56" s="162">
        <v>0</v>
      </c>
      <c r="F56" s="162">
        <v>3596712.3899999997</v>
      </c>
      <c r="G56" s="162">
        <v>2107589.1800000002</v>
      </c>
      <c r="H56" s="162">
        <v>0</v>
      </c>
      <c r="I56" s="162">
        <v>0</v>
      </c>
      <c r="J56" s="162">
        <v>0</v>
      </c>
      <c r="K56" s="162">
        <v>0</v>
      </c>
      <c r="L56" s="162">
        <v>0</v>
      </c>
      <c r="M56" s="162">
        <v>0</v>
      </c>
      <c r="N56" s="162">
        <v>0</v>
      </c>
    </row>
    <row r="57" spans="1:14" x14ac:dyDescent="0.3">
      <c r="A57" s="154" t="s">
        <v>39</v>
      </c>
      <c r="B57" s="162">
        <f t="shared" si="1"/>
        <v>981099</v>
      </c>
      <c r="C57" s="279">
        <v>981099</v>
      </c>
      <c r="D57" s="162">
        <v>0</v>
      </c>
      <c r="E57" s="162">
        <v>0</v>
      </c>
      <c r="F57" s="162">
        <v>0</v>
      </c>
      <c r="G57" s="162">
        <v>0</v>
      </c>
      <c r="H57" s="162">
        <v>0</v>
      </c>
      <c r="I57" s="162">
        <v>0</v>
      </c>
      <c r="J57" s="162">
        <v>0</v>
      </c>
      <c r="K57" s="162">
        <v>0</v>
      </c>
      <c r="L57" s="162">
        <v>0</v>
      </c>
      <c r="M57" s="162">
        <v>0</v>
      </c>
      <c r="N57" s="162">
        <v>0</v>
      </c>
    </row>
    <row r="58" spans="1:14" x14ac:dyDescent="0.3">
      <c r="A58" s="154" t="s">
        <v>40</v>
      </c>
      <c r="B58" s="162">
        <f t="shared" si="1"/>
        <v>1098406861.01</v>
      </c>
      <c r="C58" s="279">
        <v>334011219.48999989</v>
      </c>
      <c r="D58" s="162">
        <v>182978601.34999999</v>
      </c>
      <c r="E58" s="162">
        <v>244586498.69</v>
      </c>
      <c r="F58" s="162">
        <v>244106645.87000003</v>
      </c>
      <c r="G58" s="162">
        <v>88321426.609999999</v>
      </c>
      <c r="H58" s="162">
        <v>4402469</v>
      </c>
      <c r="I58" s="162">
        <v>0</v>
      </c>
      <c r="J58" s="162">
        <v>0</v>
      </c>
      <c r="K58" s="162">
        <v>0</v>
      </c>
      <c r="L58" s="162">
        <v>0</v>
      </c>
      <c r="M58" s="162">
        <v>0</v>
      </c>
      <c r="N58" s="162">
        <v>0</v>
      </c>
    </row>
    <row r="59" spans="1:14" x14ac:dyDescent="0.3">
      <c r="A59" s="154" t="s">
        <v>41</v>
      </c>
      <c r="B59" s="282">
        <f t="shared" si="1"/>
        <v>16999653.469999999</v>
      </c>
      <c r="C59" s="285">
        <v>5345539</v>
      </c>
      <c r="D59" s="283">
        <v>2781859</v>
      </c>
      <c r="E59" s="162">
        <v>2665584</v>
      </c>
      <c r="F59" s="162">
        <v>6206671.4700000007</v>
      </c>
      <c r="G59" s="162">
        <v>0</v>
      </c>
      <c r="H59" s="162">
        <v>0</v>
      </c>
      <c r="I59" s="162">
        <v>0</v>
      </c>
      <c r="J59" s="162">
        <v>0</v>
      </c>
      <c r="K59" s="162">
        <v>0</v>
      </c>
      <c r="L59" s="162">
        <v>0</v>
      </c>
      <c r="M59" s="162">
        <v>0</v>
      </c>
      <c r="N59" s="162">
        <v>0</v>
      </c>
    </row>
    <row r="60" spans="1:14" ht="14" thickBot="1" x14ac:dyDescent="0.35">
      <c r="A60" s="154" t="s">
        <v>145</v>
      </c>
      <c r="B60" s="168">
        <f t="shared" si="1"/>
        <v>15507931.25</v>
      </c>
      <c r="C60" s="284">
        <v>1340487.25</v>
      </c>
      <c r="D60" s="168">
        <v>1739466</v>
      </c>
      <c r="E60" s="168">
        <v>4901248</v>
      </c>
      <c r="F60" s="168">
        <v>7526730</v>
      </c>
      <c r="G60" s="168">
        <v>0</v>
      </c>
      <c r="H60" s="168">
        <v>0</v>
      </c>
      <c r="I60" s="168">
        <v>0</v>
      </c>
      <c r="J60" s="168">
        <v>0</v>
      </c>
      <c r="K60" s="168">
        <v>0</v>
      </c>
      <c r="L60" s="168">
        <v>0</v>
      </c>
      <c r="M60" s="168">
        <v>0</v>
      </c>
      <c r="N60" s="168">
        <v>0</v>
      </c>
    </row>
    <row r="61" spans="1:14" ht="14" thickTop="1" x14ac:dyDescent="0.3">
      <c r="A61" s="45" t="s">
        <v>1</v>
      </c>
      <c r="B61" s="20">
        <f>SUM(C61:N61)</f>
        <v>3708363841.8000002</v>
      </c>
      <c r="C61" s="20">
        <f t="shared" ref="C61:M61" si="2">SUM(C43:C60)</f>
        <v>1191844468.6700001</v>
      </c>
      <c r="D61" s="20">
        <f t="shared" si="2"/>
        <v>753044719.51999986</v>
      </c>
      <c r="E61" s="20">
        <f t="shared" si="2"/>
        <v>831475078.43000007</v>
      </c>
      <c r="F61" s="20">
        <f t="shared" si="2"/>
        <v>756437947.23000014</v>
      </c>
      <c r="G61" s="20">
        <f t="shared" si="2"/>
        <v>157686406.18000001</v>
      </c>
      <c r="H61" s="20">
        <f t="shared" si="2"/>
        <v>9077895.0099999998</v>
      </c>
      <c r="I61" s="24">
        <f t="shared" si="2"/>
        <v>1382127</v>
      </c>
      <c r="J61" s="24">
        <f t="shared" si="2"/>
        <v>1526203</v>
      </c>
      <c r="K61" s="24">
        <f t="shared" si="2"/>
        <v>0</v>
      </c>
      <c r="L61" s="24">
        <f t="shared" si="2"/>
        <v>0</v>
      </c>
      <c r="M61" s="24">
        <f t="shared" si="2"/>
        <v>3086554.4</v>
      </c>
      <c r="N61" s="24">
        <f>SUM(N43:N60)</f>
        <v>2802442.36</v>
      </c>
    </row>
    <row r="62" spans="1:14" x14ac:dyDescent="0.3">
      <c r="A62" s="37"/>
      <c r="B62" s="38"/>
      <c r="C62" s="38"/>
      <c r="D62" s="38"/>
      <c r="E62" s="38"/>
      <c r="F62" s="38"/>
      <c r="G62" s="38"/>
      <c r="H62" s="38"/>
      <c r="I62" s="39"/>
      <c r="J62" s="39"/>
      <c r="K62" s="39"/>
      <c r="L62" s="39"/>
      <c r="M62" s="39"/>
      <c r="N62" s="39"/>
    </row>
    <row r="64" spans="1:14" x14ac:dyDescent="0.3">
      <c r="A64" s="164" t="s">
        <v>88</v>
      </c>
      <c r="B64" s="164"/>
      <c r="C64" s="164"/>
      <c r="D64" s="164"/>
      <c r="E64" s="164"/>
      <c r="F64" s="164"/>
      <c r="G64" s="164"/>
      <c r="H64" s="164"/>
      <c r="I64" s="164"/>
      <c r="J64" s="164"/>
      <c r="K64" s="164"/>
      <c r="L64" s="164"/>
      <c r="M64" s="164"/>
      <c r="N64" s="164"/>
    </row>
    <row r="65" spans="1:16" s="69" customFormat="1" x14ac:dyDescent="0.3">
      <c r="A65" s="108"/>
      <c r="B65" s="109" t="s">
        <v>1</v>
      </c>
      <c r="C65" s="110" t="s">
        <v>18</v>
      </c>
      <c r="D65" s="110" t="s">
        <v>19</v>
      </c>
      <c r="E65" s="111" t="s">
        <v>20</v>
      </c>
      <c r="F65" s="112" t="s">
        <v>21</v>
      </c>
      <c r="G65" s="159" t="s">
        <v>138</v>
      </c>
      <c r="H65" s="159" t="s">
        <v>139</v>
      </c>
      <c r="I65" s="112" t="s">
        <v>22</v>
      </c>
      <c r="J65" s="112" t="s">
        <v>23</v>
      </c>
      <c r="K65" s="112" t="s">
        <v>24</v>
      </c>
      <c r="L65" s="112" t="s">
        <v>25</v>
      </c>
      <c r="M65" s="112" t="s">
        <v>26</v>
      </c>
      <c r="N65" s="110" t="s">
        <v>27</v>
      </c>
    </row>
    <row r="66" spans="1:16" x14ac:dyDescent="0.3">
      <c r="A66" s="12"/>
      <c r="B66" s="11"/>
      <c r="C66" s="13"/>
      <c r="D66" s="13"/>
      <c r="E66" s="17"/>
      <c r="F66" s="13"/>
      <c r="G66" s="13"/>
      <c r="H66" s="13"/>
      <c r="I66" s="13"/>
      <c r="J66" s="13"/>
      <c r="K66" s="13"/>
      <c r="L66" s="13"/>
      <c r="M66" s="13"/>
      <c r="N66" s="13"/>
    </row>
    <row r="67" spans="1:16" ht="27" x14ac:dyDescent="0.3">
      <c r="A67" s="16" t="s">
        <v>42</v>
      </c>
      <c r="B67" s="25" t="s">
        <v>4</v>
      </c>
      <c r="C67" s="15" t="s">
        <v>4</v>
      </c>
      <c r="D67" s="15" t="s">
        <v>4</v>
      </c>
      <c r="E67" s="14" t="s">
        <v>4</v>
      </c>
      <c r="F67" s="15" t="s">
        <v>4</v>
      </c>
      <c r="G67" s="15" t="s">
        <v>4</v>
      </c>
      <c r="H67" s="15" t="s">
        <v>4</v>
      </c>
      <c r="I67" s="15" t="s">
        <v>4</v>
      </c>
      <c r="J67" s="15" t="s">
        <v>4</v>
      </c>
      <c r="K67" s="15" t="s">
        <v>4</v>
      </c>
      <c r="L67" s="15" t="s">
        <v>4</v>
      </c>
      <c r="M67" s="15" t="s">
        <v>4</v>
      </c>
      <c r="N67" s="15" t="s">
        <v>4</v>
      </c>
    </row>
    <row r="68" spans="1:16" x14ac:dyDescent="0.3">
      <c r="A68" s="41" t="s">
        <v>48</v>
      </c>
      <c r="B68" s="137">
        <v>3708363841.8000002</v>
      </c>
      <c r="C68" s="137">
        <v>1191844468.6700001</v>
      </c>
      <c r="D68" s="137">
        <v>753044719.51999986</v>
      </c>
      <c r="E68" s="137">
        <v>831475078.43000007</v>
      </c>
      <c r="F68" s="137">
        <v>756437947.23000014</v>
      </c>
      <c r="G68" s="137">
        <v>157686406.18000001</v>
      </c>
      <c r="H68" s="137">
        <v>9077895.0099999998</v>
      </c>
      <c r="I68" s="50">
        <v>1382127</v>
      </c>
      <c r="J68" s="50">
        <v>1526203</v>
      </c>
      <c r="K68" s="50">
        <v>0</v>
      </c>
      <c r="L68" s="50">
        <v>0</v>
      </c>
      <c r="M68" s="50">
        <v>3086554.4</v>
      </c>
      <c r="N68" s="50">
        <v>2802442.36</v>
      </c>
    </row>
    <row r="69" spans="1:16" x14ac:dyDescent="0.3">
      <c r="A69" s="49" t="s">
        <v>43</v>
      </c>
      <c r="B69" s="51"/>
      <c r="C69" s="33"/>
      <c r="D69" s="33"/>
      <c r="E69" s="33"/>
      <c r="F69" s="33"/>
      <c r="G69" s="33"/>
      <c r="H69" s="33"/>
      <c r="I69" s="27"/>
      <c r="J69" s="27"/>
      <c r="K69" s="27"/>
      <c r="L69" s="27"/>
      <c r="M69" s="27"/>
      <c r="N69" s="27"/>
      <c r="O69" s="70"/>
    </row>
    <row r="70" spans="1:16" x14ac:dyDescent="0.3">
      <c r="A70" s="42" t="s">
        <v>44</v>
      </c>
      <c r="B70" s="21"/>
      <c r="C70" s="31"/>
      <c r="D70" s="31"/>
      <c r="E70" s="32"/>
      <c r="F70" s="33"/>
      <c r="G70" s="33"/>
      <c r="H70" s="33"/>
      <c r="I70" s="27"/>
      <c r="J70" s="27"/>
      <c r="K70" s="27"/>
      <c r="L70" s="27"/>
      <c r="M70" s="27"/>
      <c r="N70" s="28"/>
    </row>
    <row r="71" spans="1:16" x14ac:dyDescent="0.3">
      <c r="A71" s="42" t="s">
        <v>45</v>
      </c>
      <c r="B71" s="21"/>
      <c r="C71" s="31"/>
      <c r="D71" s="31"/>
      <c r="E71" s="32"/>
      <c r="F71" s="33"/>
      <c r="G71" s="33"/>
      <c r="H71" s="33"/>
      <c r="I71" s="27"/>
      <c r="J71" s="27"/>
      <c r="K71" s="27"/>
      <c r="L71" s="27"/>
      <c r="M71" s="27"/>
      <c r="N71" s="28"/>
    </row>
    <row r="72" spans="1:16" x14ac:dyDescent="0.3">
      <c r="A72" s="42" t="s">
        <v>46</v>
      </c>
      <c r="B72" s="21"/>
      <c r="C72" s="31"/>
      <c r="D72" s="31"/>
      <c r="E72" s="32"/>
      <c r="F72" s="33"/>
      <c r="G72" s="33"/>
      <c r="H72" s="33"/>
      <c r="I72" s="27"/>
      <c r="J72" s="27"/>
      <c r="K72" s="27"/>
      <c r="L72" s="27"/>
      <c r="M72" s="27"/>
      <c r="N72" s="28"/>
    </row>
    <row r="73" spans="1:16" ht="14" thickBot="1" x14ac:dyDescent="0.35">
      <c r="A73" s="43" t="s">
        <v>47</v>
      </c>
      <c r="B73" s="21"/>
      <c r="C73" s="34"/>
      <c r="D73" s="34"/>
      <c r="E73" s="35"/>
      <c r="F73" s="36"/>
      <c r="G73" s="36"/>
      <c r="H73" s="36"/>
      <c r="I73" s="29"/>
      <c r="J73" s="29"/>
      <c r="K73" s="29"/>
      <c r="L73" s="29"/>
      <c r="M73" s="29"/>
      <c r="N73" s="30"/>
    </row>
    <row r="74" spans="1:16" ht="14" thickTop="1" x14ac:dyDescent="0.3">
      <c r="A74" s="44" t="s">
        <v>1</v>
      </c>
      <c r="B74" s="22">
        <f>SUM(B68:B73)</f>
        <v>3708363841.8000002</v>
      </c>
      <c r="C74" s="22">
        <f t="shared" ref="C74:N74" si="3">SUM(C68:C73)</f>
        <v>1191844468.6700001</v>
      </c>
      <c r="D74" s="22">
        <f t="shared" si="3"/>
        <v>753044719.51999986</v>
      </c>
      <c r="E74" s="22">
        <f t="shared" si="3"/>
        <v>831475078.43000007</v>
      </c>
      <c r="F74" s="22">
        <f t="shared" si="3"/>
        <v>756437947.23000014</v>
      </c>
      <c r="G74" s="22">
        <f t="shared" si="3"/>
        <v>157686406.18000001</v>
      </c>
      <c r="H74" s="22">
        <f t="shared" si="3"/>
        <v>9077895.0099999998</v>
      </c>
      <c r="I74" s="22">
        <f t="shared" si="3"/>
        <v>1382127</v>
      </c>
      <c r="J74" s="22">
        <f t="shared" si="3"/>
        <v>1526203</v>
      </c>
      <c r="K74" s="22">
        <f t="shared" si="3"/>
        <v>0</v>
      </c>
      <c r="L74" s="22">
        <f t="shared" si="3"/>
        <v>0</v>
      </c>
      <c r="M74" s="22">
        <f t="shared" si="3"/>
        <v>3086554.4</v>
      </c>
      <c r="N74" s="23">
        <f t="shared" si="3"/>
        <v>2802442.36</v>
      </c>
    </row>
    <row r="75" spans="1:16" x14ac:dyDescent="0.3">
      <c r="A75" s="26"/>
      <c r="B75" s="40"/>
      <c r="C75" s="40"/>
      <c r="D75" s="40"/>
      <c r="E75" s="40"/>
      <c r="F75" s="40"/>
      <c r="G75" s="40"/>
      <c r="H75" s="40"/>
      <c r="I75" s="40"/>
      <c r="J75" s="40"/>
      <c r="K75" s="40"/>
      <c r="L75" s="40"/>
      <c r="M75" s="40"/>
      <c r="N75" s="40"/>
    </row>
    <row r="77" spans="1:16" x14ac:dyDescent="0.3">
      <c r="A77" s="164" t="s">
        <v>89</v>
      </c>
      <c r="B77" s="164"/>
      <c r="C77" s="164"/>
      <c r="D77" s="164"/>
      <c r="E77" s="164"/>
      <c r="F77" s="164"/>
      <c r="G77" s="164"/>
      <c r="H77" s="164"/>
      <c r="I77" s="164"/>
      <c r="J77" s="164"/>
      <c r="K77" s="164"/>
      <c r="L77" s="164"/>
      <c r="M77" s="164"/>
      <c r="N77" s="164"/>
    </row>
    <row r="78" spans="1:16" x14ac:dyDescent="0.3">
      <c r="A78" s="108"/>
      <c r="B78" s="109" t="s">
        <v>1</v>
      </c>
      <c r="C78" s="110" t="s">
        <v>18</v>
      </c>
      <c r="D78" s="110" t="s">
        <v>19</v>
      </c>
      <c r="E78" s="111" t="s">
        <v>20</v>
      </c>
      <c r="F78" s="112" t="s">
        <v>21</v>
      </c>
      <c r="G78" s="159" t="s">
        <v>138</v>
      </c>
      <c r="H78" s="159" t="s">
        <v>139</v>
      </c>
      <c r="I78" s="112" t="s">
        <v>22</v>
      </c>
      <c r="J78" s="112" t="s">
        <v>23</v>
      </c>
      <c r="K78" s="112" t="s">
        <v>24</v>
      </c>
      <c r="L78" s="112" t="s">
        <v>25</v>
      </c>
      <c r="M78" s="112" t="s">
        <v>26</v>
      </c>
      <c r="N78" s="110" t="s">
        <v>27</v>
      </c>
    </row>
    <row r="79" spans="1:16" x14ac:dyDescent="0.3">
      <c r="A79" s="46"/>
      <c r="B79" s="11"/>
      <c r="C79" s="13"/>
      <c r="D79" s="13"/>
      <c r="E79" s="17"/>
      <c r="F79" s="13"/>
      <c r="G79" s="13"/>
      <c r="H79" s="13"/>
      <c r="I79" s="13"/>
      <c r="J79" s="13"/>
      <c r="K79" s="13"/>
      <c r="L79" s="13"/>
      <c r="M79" s="13"/>
      <c r="N79" s="13"/>
      <c r="O79" s="69"/>
      <c r="P79" s="69"/>
    </row>
    <row r="80" spans="1:16" ht="27" x14ac:dyDescent="0.3">
      <c r="A80" s="47" t="s">
        <v>42</v>
      </c>
      <c r="B80" s="25" t="s">
        <v>4</v>
      </c>
      <c r="C80" s="15" t="s">
        <v>4</v>
      </c>
      <c r="D80" s="15" t="s">
        <v>4</v>
      </c>
      <c r="E80" s="14" t="s">
        <v>4</v>
      </c>
      <c r="F80" s="15" t="s">
        <v>4</v>
      </c>
      <c r="G80" s="15" t="s">
        <v>4</v>
      </c>
      <c r="H80" s="15" t="s">
        <v>4</v>
      </c>
      <c r="I80" s="15" t="s">
        <v>4</v>
      </c>
      <c r="J80" s="15" t="s">
        <v>4</v>
      </c>
      <c r="K80" s="15" t="s">
        <v>4</v>
      </c>
      <c r="L80" s="15" t="s">
        <v>4</v>
      </c>
      <c r="M80" s="15" t="s">
        <v>4</v>
      </c>
      <c r="N80" s="15" t="s">
        <v>4</v>
      </c>
    </row>
    <row r="81" spans="1:15" x14ac:dyDescent="0.3">
      <c r="A81" s="42" t="s">
        <v>62</v>
      </c>
      <c r="B81" s="71">
        <f>SUM(C81:N81)</f>
        <v>716456919.70000005</v>
      </c>
      <c r="C81" s="72">
        <v>165504716.56000003</v>
      </c>
      <c r="D81" s="73">
        <v>129491096.25999999</v>
      </c>
      <c r="E81" s="73">
        <v>138501499.78</v>
      </c>
      <c r="F81" s="73">
        <v>194342784.04000002</v>
      </c>
      <c r="G81" s="73">
        <v>85583570.060000002</v>
      </c>
      <c r="H81" s="78">
        <v>3033253</v>
      </c>
      <c r="I81" s="74">
        <v>0</v>
      </c>
      <c r="J81" s="75">
        <v>0</v>
      </c>
      <c r="K81" s="71">
        <v>0</v>
      </c>
      <c r="L81" s="76">
        <v>0</v>
      </c>
      <c r="M81" s="76">
        <v>0</v>
      </c>
      <c r="N81" s="71">
        <v>0</v>
      </c>
    </row>
    <row r="82" spans="1:15" x14ac:dyDescent="0.3">
      <c r="A82" s="42" t="s">
        <v>63</v>
      </c>
      <c r="B82" s="75">
        <f t="shared" ref="B82:B85" si="4">SUM(C82:N82)</f>
        <v>1012089840.24</v>
      </c>
      <c r="C82" s="77">
        <v>268075823.91000009</v>
      </c>
      <c r="D82" s="78">
        <v>193218063.53999999</v>
      </c>
      <c r="E82" s="78">
        <v>222063740.87000003</v>
      </c>
      <c r="F82" s="78">
        <v>274225368.38000005</v>
      </c>
      <c r="G82" s="78">
        <v>49369397.18</v>
      </c>
      <c r="H82" s="78">
        <v>2335004</v>
      </c>
      <c r="I82" s="74">
        <v>0</v>
      </c>
      <c r="J82" s="75">
        <v>0</v>
      </c>
      <c r="K82" s="75">
        <v>0</v>
      </c>
      <c r="L82" s="74">
        <v>0</v>
      </c>
      <c r="M82" s="74">
        <v>0</v>
      </c>
      <c r="N82" s="75">
        <v>2802442.36</v>
      </c>
    </row>
    <row r="83" spans="1:15" x14ac:dyDescent="0.3">
      <c r="A83" s="42" t="s">
        <v>64</v>
      </c>
      <c r="B83" s="75">
        <f t="shared" si="4"/>
        <v>858191715.48000002</v>
      </c>
      <c r="C83" s="77">
        <v>253150976.08000001</v>
      </c>
      <c r="D83" s="78">
        <v>160046430.13000003</v>
      </c>
      <c r="E83" s="78">
        <v>252740593.25</v>
      </c>
      <c r="F83" s="78">
        <v>175169570.66</v>
      </c>
      <c r="G83" s="78">
        <v>13361596.350000001</v>
      </c>
      <c r="H83" s="78">
        <v>2340422.0099999998</v>
      </c>
      <c r="I83" s="74">
        <v>1382127</v>
      </c>
      <c r="J83" s="75">
        <v>0</v>
      </c>
      <c r="K83" s="75">
        <v>0</v>
      </c>
      <c r="L83" s="74">
        <v>0</v>
      </c>
      <c r="M83" s="74">
        <v>0</v>
      </c>
      <c r="N83" s="75">
        <v>0</v>
      </c>
    </row>
    <row r="84" spans="1:15" x14ac:dyDescent="0.3">
      <c r="A84" s="42" t="s">
        <v>65</v>
      </c>
      <c r="B84" s="75">
        <f t="shared" si="4"/>
        <v>725869111.55999994</v>
      </c>
      <c r="C84" s="77">
        <v>287657264.19</v>
      </c>
      <c r="D84" s="78">
        <v>181814736.72999996</v>
      </c>
      <c r="E84" s="78">
        <v>160988965</v>
      </c>
      <c r="F84" s="78">
        <v>83715090.780000001</v>
      </c>
      <c r="G84" s="78">
        <v>5711081.4600000009</v>
      </c>
      <c r="H84" s="78">
        <v>1369216</v>
      </c>
      <c r="I84" s="74">
        <v>0</v>
      </c>
      <c r="J84" s="75">
        <v>1526203</v>
      </c>
      <c r="K84" s="75">
        <v>0</v>
      </c>
      <c r="L84" s="74">
        <v>0</v>
      </c>
      <c r="M84" s="74">
        <v>3086554.4</v>
      </c>
      <c r="N84" s="75">
        <v>0</v>
      </c>
    </row>
    <row r="85" spans="1:15" ht="14" thickBot="1" x14ac:dyDescent="0.35">
      <c r="A85" s="43" t="s">
        <v>66</v>
      </c>
      <c r="B85" s="79">
        <f t="shared" si="4"/>
        <v>395756254.81999993</v>
      </c>
      <c r="C85" s="80">
        <v>217455687.92999995</v>
      </c>
      <c r="D85" s="80">
        <v>88474392.859999985</v>
      </c>
      <c r="E85" s="80">
        <v>57180279.529999986</v>
      </c>
      <c r="F85" s="80">
        <v>28985133.370000001</v>
      </c>
      <c r="G85" s="80">
        <v>3660761.13</v>
      </c>
      <c r="H85" s="80">
        <v>0</v>
      </c>
      <c r="I85" s="81">
        <v>0</v>
      </c>
      <c r="J85" s="79">
        <v>0</v>
      </c>
      <c r="K85" s="79">
        <v>0</v>
      </c>
      <c r="L85" s="81">
        <v>0</v>
      </c>
      <c r="M85" s="81">
        <v>0</v>
      </c>
      <c r="N85" s="79">
        <v>0</v>
      </c>
    </row>
    <row r="86" spans="1:15" ht="14" thickTop="1" x14ac:dyDescent="0.3">
      <c r="A86" s="42" t="s">
        <v>1</v>
      </c>
      <c r="B86" s="82">
        <f>SUM(B81:B85)</f>
        <v>3708363841.8000002</v>
      </c>
      <c r="C86" s="82">
        <f>SUM(C81:C85)</f>
        <v>1191844468.6700001</v>
      </c>
      <c r="D86" s="82">
        <f t="shared" ref="D86:N86" si="5">SUM(D81:D85)</f>
        <v>753044719.51999986</v>
      </c>
      <c r="E86" s="82">
        <f t="shared" si="5"/>
        <v>831475078.43000007</v>
      </c>
      <c r="F86" s="82">
        <f t="shared" si="5"/>
        <v>756437947.23000002</v>
      </c>
      <c r="G86" s="82">
        <f t="shared" si="5"/>
        <v>157686406.18000001</v>
      </c>
      <c r="H86" s="82">
        <f t="shared" si="5"/>
        <v>9077895.0099999998</v>
      </c>
      <c r="I86" s="82">
        <f t="shared" si="5"/>
        <v>1382127</v>
      </c>
      <c r="J86" s="82">
        <f t="shared" si="5"/>
        <v>1526203</v>
      </c>
      <c r="K86" s="82">
        <f t="shared" si="5"/>
        <v>0</v>
      </c>
      <c r="L86" s="82">
        <f t="shared" si="5"/>
        <v>0</v>
      </c>
      <c r="M86" s="82">
        <f t="shared" si="5"/>
        <v>3086554.4</v>
      </c>
      <c r="N86" s="82">
        <f t="shared" si="5"/>
        <v>2802442.36</v>
      </c>
      <c r="O86" s="70"/>
    </row>
    <row r="87" spans="1:15" x14ac:dyDescent="0.3">
      <c r="A87" s="26"/>
      <c r="B87" s="83"/>
      <c r="C87" s="83"/>
      <c r="D87" s="83"/>
      <c r="E87" s="83"/>
      <c r="F87" s="83"/>
      <c r="G87" s="83"/>
      <c r="H87" s="83"/>
      <c r="I87" s="83"/>
      <c r="J87" s="83"/>
      <c r="K87" s="83"/>
      <c r="L87" s="83"/>
      <c r="M87" s="83"/>
      <c r="N87" s="83"/>
      <c r="O87" s="67"/>
    </row>
    <row r="88" spans="1:15" x14ac:dyDescent="0.3">
      <c r="A88" s="67"/>
    </row>
    <row r="89" spans="1:15" x14ac:dyDescent="0.3">
      <c r="A89" s="164" t="s">
        <v>90</v>
      </c>
      <c r="B89" s="164"/>
      <c r="C89" s="164"/>
      <c r="D89" s="164"/>
      <c r="E89" s="164"/>
      <c r="F89" s="164"/>
      <c r="G89" s="164"/>
      <c r="H89" s="164"/>
      <c r="I89" s="164"/>
      <c r="J89" s="164"/>
      <c r="K89" s="164"/>
      <c r="L89" s="164"/>
      <c r="M89" s="164"/>
      <c r="N89" s="164"/>
    </row>
    <row r="90" spans="1:15" x14ac:dyDescent="0.3">
      <c r="A90" s="108"/>
      <c r="B90" s="109" t="s">
        <v>1</v>
      </c>
      <c r="C90" s="110" t="s">
        <v>18</v>
      </c>
      <c r="D90" s="110" t="s">
        <v>19</v>
      </c>
      <c r="E90" s="111" t="s">
        <v>20</v>
      </c>
      <c r="F90" s="112" t="s">
        <v>21</v>
      </c>
      <c r="G90" s="159" t="s">
        <v>138</v>
      </c>
      <c r="H90" s="159" t="s">
        <v>139</v>
      </c>
      <c r="I90" s="112" t="s">
        <v>22</v>
      </c>
      <c r="J90" s="112" t="s">
        <v>23</v>
      </c>
      <c r="K90" s="112" t="s">
        <v>24</v>
      </c>
      <c r="L90" s="112" t="s">
        <v>25</v>
      </c>
      <c r="M90" s="112" t="s">
        <v>26</v>
      </c>
      <c r="N90" s="110" t="s">
        <v>27</v>
      </c>
    </row>
    <row r="91" spans="1:15" x14ac:dyDescent="0.3">
      <c r="A91" s="46"/>
      <c r="B91" s="11"/>
      <c r="C91" s="13"/>
      <c r="D91" s="13"/>
      <c r="E91" s="17"/>
      <c r="F91" s="13"/>
      <c r="G91" s="13"/>
      <c r="H91" s="13"/>
      <c r="I91" s="13"/>
      <c r="J91" s="13"/>
      <c r="K91" s="13"/>
      <c r="L91" s="13"/>
      <c r="M91" s="13"/>
      <c r="N91" s="13"/>
    </row>
    <row r="92" spans="1:15" ht="27" x14ac:dyDescent="0.3">
      <c r="A92" s="47"/>
      <c r="B92" s="25" t="s">
        <v>4</v>
      </c>
      <c r="C92" s="15" t="s">
        <v>4</v>
      </c>
      <c r="D92" s="15" t="s">
        <v>4</v>
      </c>
      <c r="E92" s="14" t="s">
        <v>4</v>
      </c>
      <c r="F92" s="15" t="s">
        <v>4</v>
      </c>
      <c r="G92" s="15" t="s">
        <v>4</v>
      </c>
      <c r="H92" s="15" t="s">
        <v>4</v>
      </c>
      <c r="I92" s="15" t="s">
        <v>4</v>
      </c>
      <c r="J92" s="15" t="s">
        <v>4</v>
      </c>
      <c r="K92" s="15" t="s">
        <v>4</v>
      </c>
      <c r="L92" s="15" t="s">
        <v>4</v>
      </c>
      <c r="M92" s="15" t="s">
        <v>4</v>
      </c>
      <c r="N92" s="15" t="s">
        <v>4</v>
      </c>
    </row>
    <row r="93" spans="1:15" x14ac:dyDescent="0.3">
      <c r="A93" s="42" t="str">
        <f>INDEX([2]Language!$D$6:$K$1231,318,'[2]Front Page'!$B$10)</f>
        <v>Monthly</v>
      </c>
      <c r="B93" s="140">
        <f t="shared" ref="B93:B96" si="6">SUM(C93:N93)</f>
        <v>3688783623.0800004</v>
      </c>
      <c r="C93" s="138">
        <v>1184194308.9499996</v>
      </c>
      <c r="D93" s="85">
        <v>747381841.52000058</v>
      </c>
      <c r="E93" s="85">
        <v>825207897.42999935</v>
      </c>
      <c r="F93" s="85">
        <v>756437947.23000038</v>
      </c>
      <c r="G93" s="85">
        <v>157686406.18000001</v>
      </c>
      <c r="H93" s="85">
        <v>9077895.0099999998</v>
      </c>
      <c r="I93" s="86">
        <v>1382127</v>
      </c>
      <c r="J93" s="86">
        <v>1526203</v>
      </c>
      <c r="K93" s="86">
        <v>0</v>
      </c>
      <c r="L93" s="86">
        <v>0</v>
      </c>
      <c r="M93" s="86">
        <v>3086554.4</v>
      </c>
      <c r="N93" s="87">
        <v>2802442.36</v>
      </c>
    </row>
    <row r="94" spans="1:15" x14ac:dyDescent="0.3">
      <c r="A94" s="42" t="str">
        <f>INDEX([2]Language!$D$6:$K$1231,319,'[2]Front Page'!$B$10)</f>
        <v>Quarterly / Semi-annually</v>
      </c>
      <c r="B94" s="88">
        <f t="shared" si="6"/>
        <v>15508465</v>
      </c>
      <c r="C94" s="89">
        <v>3578406</v>
      </c>
      <c r="D94" s="90">
        <v>5662878</v>
      </c>
      <c r="E94" s="90">
        <v>6267181</v>
      </c>
      <c r="F94" s="90">
        <v>0</v>
      </c>
      <c r="G94" s="90">
        <v>0</v>
      </c>
      <c r="H94" s="90">
        <v>0</v>
      </c>
      <c r="I94" s="91">
        <v>0</v>
      </c>
      <c r="J94" s="91">
        <v>0</v>
      </c>
      <c r="K94" s="91">
        <v>0</v>
      </c>
      <c r="L94" s="91">
        <v>0</v>
      </c>
      <c r="M94" s="91">
        <v>0</v>
      </c>
      <c r="N94" s="92">
        <v>0</v>
      </c>
    </row>
    <row r="95" spans="1:15" ht="14.5" x14ac:dyDescent="0.35">
      <c r="A95" s="42" t="str">
        <f>INDEX([2]Language!$D$6:$K$1231,320,'[2]Front Page'!$B$10)</f>
        <v>Annually</v>
      </c>
      <c r="B95" s="88">
        <f t="shared" si="6"/>
        <v>4071753.7199999997</v>
      </c>
      <c r="C95">
        <v>4071753.7199999997</v>
      </c>
      <c r="D95" s="90">
        <v>0</v>
      </c>
      <c r="E95" s="90">
        <v>0</v>
      </c>
      <c r="F95" s="90">
        <v>0</v>
      </c>
      <c r="G95" s="90">
        <v>0</v>
      </c>
      <c r="H95" s="90">
        <v>0</v>
      </c>
      <c r="I95" s="91">
        <v>0</v>
      </c>
      <c r="J95" s="91">
        <v>0</v>
      </c>
      <c r="K95" s="91">
        <v>0</v>
      </c>
      <c r="L95" s="91">
        <v>0</v>
      </c>
      <c r="M95" s="91">
        <v>0</v>
      </c>
      <c r="N95" s="92">
        <v>0</v>
      </c>
    </row>
    <row r="96" spans="1:15" ht="14" thickBot="1" x14ac:dyDescent="0.35">
      <c r="A96" s="43" t="str">
        <f>INDEX([2]Language!$D$6:$K$1231,321,'[2]Front Page'!$B$10)</f>
        <v>BULLET</v>
      </c>
      <c r="B96" s="148">
        <f t="shared" si="6"/>
        <v>0</v>
      </c>
      <c r="C96" s="89">
        <v>0</v>
      </c>
      <c r="D96" s="90">
        <v>0</v>
      </c>
      <c r="E96" s="90">
        <v>0</v>
      </c>
      <c r="F96" s="90">
        <v>0</v>
      </c>
      <c r="G96" s="90">
        <v>0</v>
      </c>
      <c r="H96" s="90">
        <v>0</v>
      </c>
      <c r="I96" s="91">
        <v>0</v>
      </c>
      <c r="J96" s="91">
        <v>0</v>
      </c>
      <c r="K96" s="91">
        <v>0</v>
      </c>
      <c r="L96" s="91">
        <v>0</v>
      </c>
      <c r="M96" s="91">
        <v>0</v>
      </c>
      <c r="N96" s="96">
        <v>0</v>
      </c>
    </row>
    <row r="97" spans="1:15" ht="14" thickTop="1" x14ac:dyDescent="0.3">
      <c r="A97" s="42" t="s">
        <v>1</v>
      </c>
      <c r="B97" s="139">
        <f t="shared" ref="B97:N97" si="7">SUM(B93:B96)</f>
        <v>3708363841.8000002</v>
      </c>
      <c r="C97" s="97">
        <f t="shared" si="7"/>
        <v>1191844468.6699996</v>
      </c>
      <c r="D97" s="97">
        <f t="shared" si="7"/>
        <v>753044719.52000058</v>
      </c>
      <c r="E97" s="97">
        <f t="shared" si="7"/>
        <v>831475078.42999935</v>
      </c>
      <c r="F97" s="97">
        <f t="shared" si="7"/>
        <v>756437947.23000038</v>
      </c>
      <c r="G97" s="97">
        <f t="shared" si="7"/>
        <v>157686406.18000001</v>
      </c>
      <c r="H97" s="97">
        <f t="shared" si="7"/>
        <v>9077895.0099999998</v>
      </c>
      <c r="I97" s="97">
        <f t="shared" si="7"/>
        <v>1382127</v>
      </c>
      <c r="J97" s="97">
        <f t="shared" si="7"/>
        <v>1526203</v>
      </c>
      <c r="K97" s="97">
        <f t="shared" si="7"/>
        <v>0</v>
      </c>
      <c r="L97" s="97">
        <f t="shared" si="7"/>
        <v>0</v>
      </c>
      <c r="M97" s="97">
        <f t="shared" si="7"/>
        <v>3086554.4</v>
      </c>
      <c r="N97" s="98">
        <f t="shared" si="7"/>
        <v>2802442.36</v>
      </c>
    </row>
    <row r="98" spans="1:15" x14ac:dyDescent="0.3">
      <c r="A98" s="26"/>
      <c r="B98" s="99"/>
      <c r="C98" s="99"/>
      <c r="D98" s="99"/>
      <c r="E98" s="99"/>
      <c r="F98" s="99"/>
      <c r="G98" s="99"/>
      <c r="H98" s="99"/>
      <c r="I98" s="99"/>
      <c r="J98" s="99"/>
      <c r="K98" s="99"/>
      <c r="L98" s="99"/>
      <c r="M98" s="99"/>
      <c r="N98" s="99"/>
    </row>
    <row r="100" spans="1:15" x14ac:dyDescent="0.3">
      <c r="A100" s="164" t="s">
        <v>91</v>
      </c>
      <c r="B100" s="164"/>
      <c r="C100" s="164"/>
      <c r="D100" s="164"/>
      <c r="E100" s="164"/>
      <c r="F100" s="164"/>
      <c r="G100" s="164"/>
      <c r="H100" s="164"/>
      <c r="I100" s="164"/>
      <c r="J100" s="164"/>
      <c r="K100" s="164"/>
      <c r="L100" s="164"/>
      <c r="M100" s="164"/>
      <c r="N100" s="164"/>
    </row>
    <row r="101" spans="1:15" x14ac:dyDescent="0.3">
      <c r="A101" s="113"/>
      <c r="B101" s="109" t="s">
        <v>1</v>
      </c>
      <c r="C101" s="110" t="s">
        <v>18</v>
      </c>
      <c r="D101" s="110" t="s">
        <v>19</v>
      </c>
      <c r="E101" s="111" t="s">
        <v>20</v>
      </c>
      <c r="F101" s="112" t="s">
        <v>21</v>
      </c>
      <c r="G101" s="159" t="s">
        <v>138</v>
      </c>
      <c r="H101" s="159" t="s">
        <v>139</v>
      </c>
      <c r="I101" s="112" t="s">
        <v>22</v>
      </c>
      <c r="J101" s="112" t="s">
        <v>23</v>
      </c>
      <c r="K101" s="112" t="s">
        <v>24</v>
      </c>
      <c r="L101" s="112" t="s">
        <v>25</v>
      </c>
      <c r="M101" s="112" t="s">
        <v>26</v>
      </c>
      <c r="N101" s="110" t="s">
        <v>27</v>
      </c>
    </row>
    <row r="102" spans="1:15" x14ac:dyDescent="0.3">
      <c r="A102" s="48"/>
      <c r="B102" s="11"/>
      <c r="C102" s="13"/>
      <c r="D102" s="13"/>
      <c r="E102" s="17"/>
      <c r="F102" s="13"/>
      <c r="G102" s="13"/>
      <c r="H102" s="13"/>
      <c r="I102" s="13"/>
      <c r="J102" s="13"/>
      <c r="K102" s="13"/>
      <c r="L102" s="13"/>
      <c r="M102" s="13"/>
      <c r="N102" s="13"/>
    </row>
    <row r="103" spans="1:15" ht="27" x14ac:dyDescent="0.3">
      <c r="A103" s="47"/>
      <c r="B103" s="25" t="s">
        <v>4</v>
      </c>
      <c r="C103" s="15" t="s">
        <v>4</v>
      </c>
      <c r="D103" s="15" t="s">
        <v>4</v>
      </c>
      <c r="E103" s="14" t="s">
        <v>4</v>
      </c>
      <c r="F103" s="15" t="s">
        <v>4</v>
      </c>
      <c r="G103" s="15" t="s">
        <v>4</v>
      </c>
      <c r="H103" s="15" t="s">
        <v>4</v>
      </c>
      <c r="I103" s="15" t="s">
        <v>4</v>
      </c>
      <c r="J103" s="15" t="s">
        <v>4</v>
      </c>
      <c r="K103" s="15" t="s">
        <v>4</v>
      </c>
      <c r="L103" s="15" t="s">
        <v>4</v>
      </c>
      <c r="M103" s="15" t="s">
        <v>4</v>
      </c>
      <c r="N103" s="15" t="s">
        <v>4</v>
      </c>
    </row>
    <row r="104" spans="1:15" x14ac:dyDescent="0.3">
      <c r="A104" s="42" t="s">
        <v>57</v>
      </c>
      <c r="B104" s="137">
        <v>3708363841.8000002</v>
      </c>
      <c r="C104" s="137">
        <v>1191844468.6700001</v>
      </c>
      <c r="D104" s="137">
        <v>753044719.51999986</v>
      </c>
      <c r="E104" s="137">
        <v>831475078.43000007</v>
      </c>
      <c r="F104" s="137">
        <v>756437947.23000014</v>
      </c>
      <c r="G104" s="137">
        <v>157686406.18000001</v>
      </c>
      <c r="H104" s="137">
        <v>9077895.0099999998</v>
      </c>
      <c r="I104" s="50">
        <v>1382127</v>
      </c>
      <c r="J104" s="50">
        <v>1526203</v>
      </c>
      <c r="K104" s="50">
        <v>0</v>
      </c>
      <c r="L104" s="50">
        <v>0</v>
      </c>
      <c r="M104" s="50">
        <v>3086554.4</v>
      </c>
      <c r="N104" s="50">
        <v>2802442.36</v>
      </c>
      <c r="O104" s="70"/>
    </row>
    <row r="105" spans="1:15" x14ac:dyDescent="0.3">
      <c r="A105" s="42" t="s">
        <v>67</v>
      </c>
      <c r="B105" s="100"/>
      <c r="C105" s="90"/>
      <c r="D105" s="90"/>
      <c r="E105" s="90"/>
      <c r="F105" s="90"/>
      <c r="G105" s="90"/>
      <c r="H105" s="90"/>
      <c r="I105" s="91"/>
      <c r="J105" s="91"/>
      <c r="K105" s="91"/>
      <c r="L105" s="91"/>
      <c r="M105" s="91"/>
      <c r="N105" s="91"/>
      <c r="O105" s="70"/>
    </row>
    <row r="106" spans="1:15" x14ac:dyDescent="0.3">
      <c r="A106" s="42" t="s">
        <v>68</v>
      </c>
      <c r="B106" s="100"/>
      <c r="C106" s="90"/>
      <c r="D106" s="90"/>
      <c r="E106" s="90"/>
      <c r="F106" s="90"/>
      <c r="G106" s="90"/>
      <c r="H106" s="90"/>
      <c r="I106" s="91"/>
      <c r="J106" s="91"/>
      <c r="K106" s="91"/>
      <c r="L106" s="91"/>
      <c r="M106" s="91"/>
      <c r="N106" s="91"/>
      <c r="O106" s="70"/>
    </row>
    <row r="107" spans="1:15" ht="14" thickBot="1" x14ac:dyDescent="0.35">
      <c r="A107" s="43" t="s">
        <v>69</v>
      </c>
      <c r="B107" s="93"/>
      <c r="C107" s="94"/>
      <c r="D107" s="94"/>
      <c r="E107" s="94"/>
      <c r="F107" s="94"/>
      <c r="G107" s="94"/>
      <c r="H107" s="94"/>
      <c r="I107" s="95"/>
      <c r="J107" s="95"/>
      <c r="K107" s="95"/>
      <c r="L107" s="95"/>
      <c r="M107" s="95"/>
      <c r="N107" s="95"/>
      <c r="O107" s="70"/>
    </row>
    <row r="108" spans="1:15" ht="14" thickTop="1" x14ac:dyDescent="0.3">
      <c r="A108" s="42" t="s">
        <v>1</v>
      </c>
      <c r="B108" s="97">
        <f>SUM(B104:B107)</f>
        <v>3708363841.8000002</v>
      </c>
      <c r="C108" s="97">
        <f>SUM(C104:C107)</f>
        <v>1191844468.6700001</v>
      </c>
      <c r="D108" s="97">
        <f t="shared" ref="D108:N108" si="8">SUM(D104:D107)</f>
        <v>753044719.51999986</v>
      </c>
      <c r="E108" s="97">
        <f t="shared" si="8"/>
        <v>831475078.43000007</v>
      </c>
      <c r="F108" s="97">
        <f t="shared" si="8"/>
        <v>756437947.23000014</v>
      </c>
      <c r="G108" s="97">
        <f t="shared" si="8"/>
        <v>157686406.18000001</v>
      </c>
      <c r="H108" s="97">
        <f t="shared" si="8"/>
        <v>9077895.0099999998</v>
      </c>
      <c r="I108" s="97">
        <f t="shared" si="8"/>
        <v>1382127</v>
      </c>
      <c r="J108" s="97">
        <f t="shared" si="8"/>
        <v>1526203</v>
      </c>
      <c r="K108" s="97">
        <f t="shared" si="8"/>
        <v>0</v>
      </c>
      <c r="L108" s="97">
        <f t="shared" si="8"/>
        <v>0</v>
      </c>
      <c r="M108" s="97">
        <f t="shared" si="8"/>
        <v>3086554.4</v>
      </c>
      <c r="N108" s="97">
        <f t="shared" si="8"/>
        <v>2802442.36</v>
      </c>
      <c r="O108" s="70"/>
    </row>
    <row r="109" spans="1:15" x14ac:dyDescent="0.3">
      <c r="A109" s="26"/>
      <c r="B109" s="99"/>
      <c r="C109" s="99"/>
      <c r="D109" s="99"/>
      <c r="E109" s="99"/>
      <c r="F109" s="99"/>
      <c r="G109" s="99"/>
      <c r="H109" s="99"/>
      <c r="I109" s="99"/>
      <c r="J109" s="99"/>
      <c r="K109" s="99"/>
      <c r="L109" s="99"/>
      <c r="M109" s="99"/>
      <c r="N109" s="99"/>
      <c r="O109" s="67"/>
    </row>
    <row r="111" spans="1:15" x14ac:dyDescent="0.3">
      <c r="A111" s="164" t="s">
        <v>70</v>
      </c>
      <c r="B111" s="164"/>
      <c r="C111" s="164"/>
      <c r="D111" s="164"/>
      <c r="E111" s="164"/>
      <c r="F111" s="164"/>
      <c r="G111" s="164"/>
      <c r="H111" s="164"/>
      <c r="I111" s="164"/>
    </row>
    <row r="112" spans="1:15" ht="40.5" x14ac:dyDescent="0.3">
      <c r="A112" s="109" t="s">
        <v>50</v>
      </c>
      <c r="B112" s="109" t="s">
        <v>51</v>
      </c>
      <c r="C112" s="149" t="s">
        <v>52</v>
      </c>
      <c r="D112" s="149" t="s">
        <v>59</v>
      </c>
      <c r="E112" s="149" t="s">
        <v>61</v>
      </c>
      <c r="F112" s="149" t="s">
        <v>53</v>
      </c>
      <c r="G112" s="150" t="s">
        <v>60</v>
      </c>
      <c r="H112" s="151" t="s">
        <v>54</v>
      </c>
      <c r="I112" s="150" t="s">
        <v>55</v>
      </c>
    </row>
    <row r="113" spans="1:9" x14ac:dyDescent="0.3">
      <c r="A113" s="41" t="s">
        <v>93</v>
      </c>
      <c r="B113" s="144" t="s">
        <v>3</v>
      </c>
      <c r="C113" s="86">
        <v>322000000</v>
      </c>
      <c r="D113" s="145" t="s">
        <v>101</v>
      </c>
      <c r="E113" s="276">
        <v>41818</v>
      </c>
      <c r="F113" s="146" t="s">
        <v>56</v>
      </c>
      <c r="G113" s="146" t="s">
        <v>108</v>
      </c>
      <c r="H113" s="145" t="s">
        <v>111</v>
      </c>
      <c r="I113" s="147">
        <v>1</v>
      </c>
    </row>
    <row r="114" spans="1:9" x14ac:dyDescent="0.3">
      <c r="A114" s="42" t="s">
        <v>92</v>
      </c>
      <c r="B114" s="70" t="s">
        <v>3</v>
      </c>
      <c r="C114" s="91">
        <v>850000000</v>
      </c>
      <c r="D114" s="142" t="s">
        <v>100</v>
      </c>
      <c r="E114" s="277">
        <v>42150</v>
      </c>
      <c r="F114" s="101" t="s">
        <v>56</v>
      </c>
      <c r="G114" s="101" t="s">
        <v>108</v>
      </c>
      <c r="H114" s="142" t="s">
        <v>110</v>
      </c>
      <c r="I114" s="143">
        <v>2</v>
      </c>
    </row>
    <row r="115" spans="1:9" x14ac:dyDescent="0.3">
      <c r="A115" s="42" t="s">
        <v>97</v>
      </c>
      <c r="B115" s="70" t="s">
        <v>3</v>
      </c>
      <c r="C115" s="91">
        <v>350000000</v>
      </c>
      <c r="D115" s="142" t="s">
        <v>105</v>
      </c>
      <c r="E115" s="277">
        <v>42479</v>
      </c>
      <c r="F115" s="101" t="s">
        <v>56</v>
      </c>
      <c r="G115" s="101" t="s">
        <v>108</v>
      </c>
      <c r="H115" s="142" t="s">
        <v>114</v>
      </c>
      <c r="I115" s="143">
        <v>3</v>
      </c>
    </row>
    <row r="116" spans="1:9" x14ac:dyDescent="0.3">
      <c r="A116" s="42" t="s">
        <v>98</v>
      </c>
      <c r="B116" s="70" t="s">
        <v>3</v>
      </c>
      <c r="C116" s="91">
        <v>200000000</v>
      </c>
      <c r="D116" s="142" t="s">
        <v>106</v>
      </c>
      <c r="E116" s="277">
        <v>41965</v>
      </c>
      <c r="F116" s="101" t="s">
        <v>58</v>
      </c>
      <c r="G116" s="101" t="s">
        <v>109</v>
      </c>
      <c r="H116" s="142" t="s">
        <v>115</v>
      </c>
      <c r="I116" s="143">
        <v>4</v>
      </c>
    </row>
    <row r="117" spans="1:9" x14ac:dyDescent="0.3">
      <c r="A117" s="42" t="s">
        <v>96</v>
      </c>
      <c r="B117" s="70" t="s">
        <v>3</v>
      </c>
      <c r="C117" s="91">
        <v>75000000</v>
      </c>
      <c r="D117" s="142" t="s">
        <v>104</v>
      </c>
      <c r="E117" s="277">
        <v>43173</v>
      </c>
      <c r="F117" s="101" t="s">
        <v>58</v>
      </c>
      <c r="G117" s="101" t="s">
        <v>109</v>
      </c>
      <c r="H117" s="142" t="s">
        <v>113</v>
      </c>
      <c r="I117" s="143">
        <v>5</v>
      </c>
    </row>
    <row r="118" spans="1:9" x14ac:dyDescent="0.3">
      <c r="A118" s="42" t="s">
        <v>99</v>
      </c>
      <c r="B118" s="70" t="s">
        <v>3</v>
      </c>
      <c r="C118" s="91">
        <v>300000000</v>
      </c>
      <c r="D118" s="142" t="s">
        <v>107</v>
      </c>
      <c r="E118" s="277">
        <v>42922</v>
      </c>
      <c r="F118" s="101" t="s">
        <v>56</v>
      </c>
      <c r="G118" s="101" t="s">
        <v>108</v>
      </c>
      <c r="H118" s="142" t="s">
        <v>116</v>
      </c>
      <c r="I118" s="143">
        <v>6</v>
      </c>
    </row>
    <row r="119" spans="1:9" x14ac:dyDescent="0.3">
      <c r="A119" s="42" t="s">
        <v>94</v>
      </c>
      <c r="B119" s="70" t="s">
        <v>3</v>
      </c>
      <c r="C119" s="91">
        <v>650000000</v>
      </c>
      <c r="D119" s="142" t="s">
        <v>102</v>
      </c>
      <c r="E119" s="277">
        <v>43357</v>
      </c>
      <c r="F119" s="101" t="s">
        <v>56</v>
      </c>
      <c r="G119" s="101" t="s">
        <v>108</v>
      </c>
      <c r="H119" s="142" t="s">
        <v>112</v>
      </c>
      <c r="I119" s="143">
        <v>7</v>
      </c>
    </row>
    <row r="120" spans="1:9" x14ac:dyDescent="0.3">
      <c r="A120" s="42" t="s">
        <v>95</v>
      </c>
      <c r="B120" s="70" t="s">
        <v>3</v>
      </c>
      <c r="C120" s="91">
        <v>300000000</v>
      </c>
      <c r="D120" s="142" t="s">
        <v>103</v>
      </c>
      <c r="E120" s="277">
        <v>42992</v>
      </c>
      <c r="F120" s="101" t="s">
        <v>56</v>
      </c>
      <c r="G120" s="101" t="s">
        <v>108</v>
      </c>
      <c r="H120" s="142" t="s">
        <v>112</v>
      </c>
      <c r="I120" s="143">
        <v>8</v>
      </c>
    </row>
    <row r="121" spans="1:9" ht="14" thickBot="1" x14ac:dyDescent="0.35">
      <c r="A121" s="43" t="s">
        <v>164</v>
      </c>
      <c r="B121" s="169" t="s">
        <v>3</v>
      </c>
      <c r="C121" s="95">
        <v>250000000</v>
      </c>
      <c r="D121" s="275">
        <v>43242</v>
      </c>
      <c r="E121" s="275">
        <v>43607</v>
      </c>
      <c r="F121" s="171" t="s">
        <v>56</v>
      </c>
      <c r="G121" s="171" t="s">
        <v>108</v>
      </c>
      <c r="H121" s="278">
        <v>41355</v>
      </c>
      <c r="I121" s="172">
        <v>9</v>
      </c>
    </row>
    <row r="122" spans="1:9" s="67" customFormat="1" ht="14" thickTop="1" x14ac:dyDescent="0.3">
      <c r="A122" s="26"/>
      <c r="C122" s="104"/>
      <c r="D122" s="102"/>
      <c r="E122" s="102"/>
      <c r="F122" s="105"/>
      <c r="I122" s="102"/>
    </row>
    <row r="123" spans="1:9" s="67" customFormat="1" x14ac:dyDescent="0.3">
      <c r="A123" s="26"/>
      <c r="C123" s="104"/>
      <c r="D123" s="102"/>
      <c r="E123" s="102"/>
      <c r="F123" s="105"/>
      <c r="I123" s="102"/>
    </row>
    <row r="124" spans="1:9" s="67" customFormat="1" x14ac:dyDescent="0.3">
      <c r="A124" s="164" t="s">
        <v>118</v>
      </c>
      <c r="B124" s="164"/>
      <c r="C124" s="164"/>
      <c r="D124" s="164"/>
      <c r="E124" s="164"/>
      <c r="F124" s="164"/>
      <c r="I124" s="102"/>
    </row>
    <row r="125" spans="1:9" s="67" customFormat="1" x14ac:dyDescent="0.3">
      <c r="A125" s="136" t="s">
        <v>119</v>
      </c>
      <c r="B125" s="19" t="s">
        <v>50</v>
      </c>
      <c r="C125" s="19" t="s">
        <v>120</v>
      </c>
      <c r="D125" s="19" t="s">
        <v>51</v>
      </c>
      <c r="E125" s="63" t="s">
        <v>121</v>
      </c>
      <c r="F125" s="63" t="s">
        <v>122</v>
      </c>
      <c r="I125" s="102"/>
    </row>
    <row r="126" spans="1:9" s="67" customFormat="1" x14ac:dyDescent="0.3">
      <c r="A126" s="8" t="s">
        <v>123</v>
      </c>
      <c r="B126" s="125" t="s">
        <v>124</v>
      </c>
      <c r="C126" s="125" t="s">
        <v>125</v>
      </c>
      <c r="D126" s="125" t="s">
        <v>3</v>
      </c>
      <c r="E126" s="92">
        <v>115000000</v>
      </c>
      <c r="F126" s="64" t="s">
        <v>126</v>
      </c>
      <c r="I126" s="102"/>
    </row>
    <row r="127" spans="1:9" s="67" customFormat="1" x14ac:dyDescent="0.3">
      <c r="A127" s="7" t="s">
        <v>147</v>
      </c>
      <c r="B127" s="126" t="s">
        <v>127</v>
      </c>
      <c r="C127" s="126" t="s">
        <v>128</v>
      </c>
      <c r="D127" s="126" t="s">
        <v>3</v>
      </c>
      <c r="E127" s="92">
        <v>50000000</v>
      </c>
      <c r="F127" s="64" t="s">
        <v>129</v>
      </c>
      <c r="I127" s="102"/>
    </row>
    <row r="128" spans="1:9" s="67" customFormat="1" x14ac:dyDescent="0.3">
      <c r="A128" s="7" t="s">
        <v>133</v>
      </c>
      <c r="B128" s="126" t="s">
        <v>134</v>
      </c>
      <c r="C128" s="126" t="s">
        <v>128</v>
      </c>
      <c r="D128" s="126" t="s">
        <v>3</v>
      </c>
      <c r="E128" s="92">
        <v>25000000</v>
      </c>
      <c r="F128" s="64" t="s">
        <v>129</v>
      </c>
      <c r="I128" s="102"/>
    </row>
    <row r="129" spans="1:11" s="67" customFormat="1" x14ac:dyDescent="0.3">
      <c r="A129" s="7" t="s">
        <v>135</v>
      </c>
      <c r="B129" s="126" t="s">
        <v>136</v>
      </c>
      <c r="C129" s="126" t="s">
        <v>128</v>
      </c>
      <c r="D129" s="126" t="s">
        <v>3</v>
      </c>
      <c r="E129" s="92">
        <v>25000000</v>
      </c>
      <c r="F129" s="64" t="s">
        <v>129</v>
      </c>
      <c r="I129" s="102"/>
    </row>
    <row r="130" spans="1:11" s="67" customFormat="1" x14ac:dyDescent="0.3">
      <c r="A130" s="7" t="s">
        <v>161</v>
      </c>
      <c r="B130" s="126" t="s">
        <v>162</v>
      </c>
      <c r="C130" s="126" t="s">
        <v>128</v>
      </c>
      <c r="D130" s="126" t="s">
        <v>3</v>
      </c>
      <c r="E130" s="92">
        <v>80000000</v>
      </c>
      <c r="F130" s="64" t="s">
        <v>129</v>
      </c>
      <c r="I130" s="102"/>
    </row>
    <row r="131" spans="1:11" s="67" customFormat="1" x14ac:dyDescent="0.3">
      <c r="A131" s="7" t="s">
        <v>137</v>
      </c>
      <c r="B131" s="127" t="s">
        <v>130</v>
      </c>
      <c r="C131" s="126" t="s">
        <v>128</v>
      </c>
      <c r="D131" s="126" t="s">
        <v>3</v>
      </c>
      <c r="E131" s="92">
        <v>25000000</v>
      </c>
      <c r="F131" s="64" t="s">
        <v>131</v>
      </c>
      <c r="I131" s="102"/>
    </row>
    <row r="132" spans="1:11" s="67" customFormat="1" ht="14" thickBot="1" x14ac:dyDescent="0.35">
      <c r="A132" s="3" t="s">
        <v>137</v>
      </c>
      <c r="B132" s="128" t="s">
        <v>163</v>
      </c>
      <c r="C132" s="165" t="s">
        <v>128</v>
      </c>
      <c r="D132" s="128" t="s">
        <v>3</v>
      </c>
      <c r="E132" s="96">
        <v>25000000</v>
      </c>
      <c r="F132" s="65" t="s">
        <v>131</v>
      </c>
      <c r="I132" s="102"/>
    </row>
    <row r="133" spans="1:11" s="67" customFormat="1" ht="14" thickTop="1" x14ac:dyDescent="0.3">
      <c r="A133" s="5" t="s">
        <v>1</v>
      </c>
      <c r="B133" s="166"/>
      <c r="C133" s="166"/>
      <c r="D133" s="166"/>
      <c r="E133" s="103">
        <f>SUM(E126:E132)</f>
        <v>345000000</v>
      </c>
      <c r="F133" s="167"/>
      <c r="I133" s="102"/>
    </row>
    <row r="134" spans="1:11" s="67" customFormat="1" x14ac:dyDescent="0.3">
      <c r="A134" s="26"/>
      <c r="C134" s="104"/>
      <c r="D134" s="102"/>
      <c r="E134" s="102"/>
      <c r="F134" s="105"/>
      <c r="I134" s="102"/>
    </row>
    <row r="135" spans="1:11" x14ac:dyDescent="0.3">
      <c r="A135" s="67"/>
      <c r="B135" s="67"/>
      <c r="C135" s="67"/>
      <c r="D135" s="67"/>
      <c r="E135" s="67"/>
      <c r="F135" s="67"/>
      <c r="G135" s="67"/>
      <c r="H135" s="67"/>
      <c r="I135" s="67"/>
      <c r="J135" s="67"/>
      <c r="K135" s="67"/>
    </row>
    <row r="136" spans="1:11" x14ac:dyDescent="0.3">
      <c r="A136" s="164" t="s">
        <v>132</v>
      </c>
      <c r="B136" s="164"/>
      <c r="C136" s="164"/>
      <c r="D136" s="164"/>
      <c r="E136" s="164"/>
    </row>
    <row r="156" spans="1:1" x14ac:dyDescent="0.3">
      <c r="A156"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70"/>
  <sheetViews>
    <sheetView workbookViewId="0">
      <pane ySplit="7" topLeftCell="A8" activePane="bottomLeft" state="frozen"/>
      <selection pane="bottomLeft" activeCell="B18" sqref="B18"/>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43465</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8761338301</v>
      </c>
      <c r="C7" s="263"/>
      <c r="D7" s="364"/>
      <c r="E7" s="450"/>
      <c r="F7" s="266"/>
      <c r="G7" s="55"/>
      <c r="H7" s="55"/>
      <c r="I7" s="67"/>
      <c r="J7" s="67"/>
      <c r="K7" s="67"/>
      <c r="L7" s="67"/>
      <c r="M7" s="67"/>
    </row>
    <row r="8" spans="1:13" x14ac:dyDescent="0.3">
      <c r="A8" s="265" t="s">
        <v>78</v>
      </c>
      <c r="B8" s="365">
        <v>1278654</v>
      </c>
      <c r="C8" s="263"/>
      <c r="D8" s="366"/>
      <c r="E8" s="267"/>
      <c r="F8" s="266"/>
      <c r="G8" s="55"/>
      <c r="H8" s="55"/>
      <c r="I8" s="67"/>
      <c r="J8" s="67"/>
      <c r="K8" s="67"/>
      <c r="L8" s="67"/>
      <c r="M8" s="67"/>
    </row>
    <row r="9" spans="1:13" x14ac:dyDescent="0.3">
      <c r="A9" s="265" t="s">
        <v>73</v>
      </c>
      <c r="B9" s="365">
        <v>6852</v>
      </c>
      <c r="C9" s="263"/>
      <c r="D9" s="364"/>
      <c r="E9" s="267"/>
      <c r="F9" s="266"/>
      <c r="G9" s="55"/>
      <c r="H9" s="55"/>
      <c r="I9" s="67"/>
      <c r="J9" s="67"/>
      <c r="K9" s="67"/>
      <c r="L9" s="67"/>
      <c r="M9" s="67"/>
    </row>
    <row r="10" spans="1:13" ht="13.5" customHeight="1" x14ac:dyDescent="0.3">
      <c r="A10" s="265" t="s">
        <v>79</v>
      </c>
      <c r="B10" s="338">
        <v>8.8999999999999999E-3</v>
      </c>
      <c r="C10" s="263"/>
      <c r="D10" s="268"/>
      <c r="E10" s="267"/>
      <c r="F10" s="266"/>
      <c r="G10" s="55"/>
      <c r="H10" s="55"/>
      <c r="I10" s="67"/>
      <c r="J10" s="67"/>
      <c r="K10" s="67"/>
      <c r="L10" s="67"/>
      <c r="M10" s="67"/>
    </row>
    <row r="11" spans="1:13" x14ac:dyDescent="0.3">
      <c r="A11" s="265" t="s">
        <v>74</v>
      </c>
      <c r="B11" s="365">
        <v>47</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6630</v>
      </c>
      <c r="C13" s="348"/>
      <c r="D13" s="349"/>
      <c r="E13" s="350"/>
      <c r="F13" s="351"/>
      <c r="G13" s="352"/>
      <c r="H13" s="55"/>
      <c r="I13" s="362"/>
      <c r="J13" s="362"/>
      <c r="K13" s="67"/>
      <c r="L13" s="67"/>
      <c r="M13" s="67"/>
    </row>
    <row r="14" spans="1:13" x14ac:dyDescent="0.3">
      <c r="A14" s="265" t="s">
        <v>196</v>
      </c>
      <c r="B14" s="338">
        <v>0.53690000000000004</v>
      </c>
      <c r="C14" s="348"/>
      <c r="D14" s="349"/>
      <c r="E14" s="350"/>
      <c r="F14" s="351"/>
      <c r="G14" s="352"/>
      <c r="H14" s="55"/>
      <c r="I14" s="362"/>
      <c r="J14" s="362"/>
      <c r="K14" s="67"/>
      <c r="L14" s="67"/>
      <c r="M14" s="67"/>
    </row>
    <row r="15" spans="1:13" x14ac:dyDescent="0.3">
      <c r="A15" s="265" t="s">
        <v>83</v>
      </c>
      <c r="B15" s="269">
        <v>1</v>
      </c>
      <c r="C15" s="348"/>
      <c r="D15" s="458"/>
      <c r="E15" s="350"/>
      <c r="F15" s="351"/>
      <c r="G15" s="352"/>
      <c r="H15" s="55"/>
      <c r="I15" s="362"/>
      <c r="J15" s="362"/>
      <c r="K15" s="67"/>
      <c r="L15" s="67"/>
      <c r="M15" s="67"/>
    </row>
    <row r="16" spans="1:13" x14ac:dyDescent="0.3">
      <c r="A16" s="265" t="s">
        <v>86</v>
      </c>
      <c r="B16" s="269">
        <v>1</v>
      </c>
      <c r="C16" s="348"/>
      <c r="D16" s="349"/>
      <c r="E16" s="350"/>
      <c r="F16" s="351"/>
      <c r="G16" s="332"/>
      <c r="H16" s="55"/>
      <c r="I16" s="362"/>
      <c r="J16" s="362"/>
      <c r="K16" s="67"/>
      <c r="L16" s="67"/>
      <c r="M16" s="67"/>
    </row>
    <row r="17" spans="1:13" x14ac:dyDescent="0.3">
      <c r="A17" s="265" t="s">
        <v>84</v>
      </c>
      <c r="B17" s="265">
        <v>1E-4</v>
      </c>
      <c r="C17" s="348"/>
      <c r="D17" s="349"/>
      <c r="E17" s="350"/>
      <c r="F17" s="351"/>
      <c r="G17" s="332"/>
      <c r="H17" s="55"/>
      <c r="I17" s="362"/>
      <c r="J17" s="362"/>
      <c r="K17" s="67"/>
      <c r="L17" s="67"/>
      <c r="M17" s="67"/>
    </row>
    <row r="18" spans="1:13" x14ac:dyDescent="0.3">
      <c r="A18" s="265" t="s">
        <v>49</v>
      </c>
      <c r="B18" s="367">
        <v>442656000</v>
      </c>
      <c r="C18" s="348"/>
      <c r="D18" s="348"/>
      <c r="E18" s="352"/>
      <c r="F18" s="353"/>
      <c r="G18" s="456"/>
      <c r="H18" s="368"/>
      <c r="I18" s="368"/>
      <c r="J18" s="189"/>
      <c r="K18" s="67"/>
      <c r="L18" s="67"/>
      <c r="M18" s="67"/>
    </row>
    <row r="19" spans="1:13" x14ac:dyDescent="0.3">
      <c r="A19" s="262" t="s">
        <v>80</v>
      </c>
      <c r="B19" s="369">
        <f>+B7+B18</f>
        <v>9203994301</v>
      </c>
      <c r="C19" s="348"/>
      <c r="D19" s="348" t="s">
        <v>234</v>
      </c>
      <c r="E19" s="435" t="s">
        <v>235</v>
      </c>
      <c r="F19" s="353"/>
      <c r="G19" s="457"/>
      <c r="H19" s="368"/>
      <c r="I19" s="368"/>
      <c r="J19" s="189"/>
      <c r="K19" s="67"/>
      <c r="L19" s="67"/>
      <c r="M19" s="67"/>
    </row>
    <row r="20" spans="1:13" x14ac:dyDescent="0.3">
      <c r="A20" s="341" t="s">
        <v>197</v>
      </c>
      <c r="B20" s="342">
        <f>($B$19-D20)/E20-1</f>
        <v>0.18073559248096482</v>
      </c>
      <c r="C20" s="348"/>
      <c r="D20" s="436">
        <v>36478603.700000003</v>
      </c>
      <c r="E20" s="435">
        <v>7764241000</v>
      </c>
      <c r="F20" s="453"/>
      <c r="G20" s="457"/>
      <c r="H20" s="368"/>
      <c r="I20" s="368"/>
      <c r="J20" s="189"/>
      <c r="K20" s="67"/>
      <c r="L20" s="67"/>
      <c r="M20" s="67"/>
    </row>
    <row r="21" spans="1:13" x14ac:dyDescent="0.3">
      <c r="A21" s="341" t="s">
        <v>198</v>
      </c>
      <c r="B21" s="342">
        <f>($B$19-D21)/E20-1</f>
        <v>0.12799629085573194</v>
      </c>
      <c r="C21" s="348"/>
      <c r="D21" s="455">
        <v>445959251.69</v>
      </c>
      <c r="E21" s="435"/>
      <c r="F21" s="353"/>
      <c r="G21" s="457"/>
      <c r="H21" s="368"/>
      <c r="I21" s="368"/>
      <c r="J21" s="189"/>
      <c r="K21" s="67"/>
      <c r="L21" s="67"/>
      <c r="M21" s="67"/>
    </row>
    <row r="22" spans="1:13" x14ac:dyDescent="0.3">
      <c r="A22" s="341" t="s">
        <v>233</v>
      </c>
      <c r="B22" s="342">
        <f>($B$19-D22)/E20-1</f>
        <v>5.8122889785363396E-2</v>
      </c>
      <c r="C22" s="348"/>
      <c r="D22" s="455">
        <v>988473177.09000003</v>
      </c>
      <c r="E22" s="435"/>
      <c r="F22" s="353"/>
      <c r="G22" s="457"/>
      <c r="H22" s="368"/>
      <c r="I22" s="368"/>
      <c r="J22" s="189"/>
      <c r="K22" s="67"/>
      <c r="L22" s="67"/>
      <c r="M22" s="67"/>
    </row>
    <row r="23" spans="1:13" s="54" customFormat="1" x14ac:dyDescent="0.3">
      <c r="A23" s="259"/>
      <c r="B23" s="371"/>
      <c r="C23" s="340"/>
      <c r="D23" s="340"/>
      <c r="E23" s="318"/>
      <c r="F23" s="186"/>
      <c r="G23" s="45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1988138994.9900005</v>
      </c>
      <c r="C28" s="373">
        <v>2871</v>
      </c>
      <c r="D28" s="196">
        <f t="shared" ref="D28:D39" si="0">B28/$B$40</f>
        <v>0.22692183850852507</v>
      </c>
      <c r="E28" s="355"/>
      <c r="F28" s="186"/>
      <c r="G28" s="186"/>
      <c r="H28" s="368"/>
      <c r="I28" s="374"/>
      <c r="J28" s="189"/>
      <c r="K28" s="67"/>
      <c r="L28" s="67"/>
      <c r="M28" s="67"/>
    </row>
    <row r="29" spans="1:13" ht="14.5" x14ac:dyDescent="0.35">
      <c r="A29" s="6" t="s">
        <v>7</v>
      </c>
      <c r="B29" s="372">
        <v>1296677023.1200004</v>
      </c>
      <c r="C29" s="373">
        <v>901</v>
      </c>
      <c r="D29" s="196">
        <f t="shared" si="0"/>
        <v>0.14799988068220132</v>
      </c>
      <c r="E29" s="355"/>
      <c r="F29" s="257"/>
      <c r="G29" s="257"/>
      <c r="H29" s="257"/>
      <c r="I29" s="257"/>
      <c r="J29" s="189"/>
      <c r="K29" s="67"/>
      <c r="L29" s="67"/>
      <c r="M29" s="67"/>
    </row>
    <row r="30" spans="1:13" ht="14.5" x14ac:dyDescent="0.35">
      <c r="A30" s="6" t="s">
        <v>8</v>
      </c>
      <c r="B30" s="372">
        <v>1887521413.48</v>
      </c>
      <c r="C30" s="373">
        <v>1183</v>
      </c>
      <c r="D30" s="196">
        <f t="shared" si="0"/>
        <v>0.21543756772058373</v>
      </c>
      <c r="E30" s="355"/>
      <c r="F30" s="259"/>
      <c r="G30" s="259"/>
      <c r="H30" s="259"/>
      <c r="I30" s="259"/>
      <c r="J30" s="189"/>
      <c r="K30" s="67"/>
      <c r="L30" s="67"/>
      <c r="M30" s="67"/>
    </row>
    <row r="31" spans="1:13" ht="14.5" x14ac:dyDescent="0.35">
      <c r="A31" s="6" t="s">
        <v>9</v>
      </c>
      <c r="B31" s="372">
        <v>2124976029.6099997</v>
      </c>
      <c r="C31" s="373">
        <v>1204</v>
      </c>
      <c r="D31" s="196">
        <f t="shared" si="0"/>
        <v>0.24254011849310989</v>
      </c>
      <c r="E31" s="355"/>
      <c r="F31" s="316"/>
      <c r="G31" s="317"/>
      <c r="H31" s="317"/>
      <c r="I31" s="176"/>
      <c r="J31" s="189"/>
      <c r="K31" s="67"/>
      <c r="L31" s="67"/>
      <c r="M31" s="67"/>
    </row>
    <row r="32" spans="1:13" ht="14.5" x14ac:dyDescent="0.35">
      <c r="A32" s="6" t="s">
        <v>140</v>
      </c>
      <c r="B32" s="372">
        <v>1246304701.2800004</v>
      </c>
      <c r="C32" s="373">
        <v>593</v>
      </c>
      <c r="D32" s="196">
        <f t="shared" si="0"/>
        <v>0.14225049398907758</v>
      </c>
      <c r="E32" s="355"/>
      <c r="F32" s="304"/>
      <c r="G32" s="368"/>
      <c r="H32" s="368"/>
      <c r="I32" s="263"/>
      <c r="J32" s="189"/>
      <c r="K32" s="67"/>
      <c r="L32" s="67"/>
      <c r="M32" s="67"/>
    </row>
    <row r="33" spans="1:15" ht="14.5" x14ac:dyDescent="0.35">
      <c r="A33" s="6" t="s">
        <v>141</v>
      </c>
      <c r="B33" s="372">
        <v>53702541.449999996</v>
      </c>
      <c r="C33" s="373">
        <v>32</v>
      </c>
      <c r="D33" s="196">
        <f t="shared" si="0"/>
        <v>6.1294906790335174E-3</v>
      </c>
      <c r="E33" s="355"/>
      <c r="F33" s="304"/>
      <c r="G33" s="368"/>
      <c r="H33" s="368"/>
      <c r="I33" s="263"/>
      <c r="J33" s="345"/>
      <c r="K33" s="67"/>
      <c r="L33" s="67"/>
      <c r="M33" s="67"/>
    </row>
    <row r="34" spans="1:15" ht="14.5" x14ac:dyDescent="0.35">
      <c r="A34" s="6" t="s">
        <v>10</v>
      </c>
      <c r="B34" s="372">
        <v>25255569.219999999</v>
      </c>
      <c r="C34" s="373">
        <v>12</v>
      </c>
      <c r="D34" s="196">
        <f t="shared" si="0"/>
        <v>2.8826154581865844E-3</v>
      </c>
      <c r="E34" s="355"/>
      <c r="F34" s="304"/>
      <c r="G34" s="368"/>
      <c r="H34" s="368"/>
      <c r="I34" s="263"/>
      <c r="J34" s="362"/>
      <c r="K34" s="67"/>
      <c r="L34" s="67"/>
      <c r="M34" s="67"/>
    </row>
    <row r="35" spans="1:15" ht="14.5" x14ac:dyDescent="0.35">
      <c r="A35" s="6" t="s">
        <v>11</v>
      </c>
      <c r="B35" s="375">
        <v>3954285.97</v>
      </c>
      <c r="C35" s="376">
        <v>3</v>
      </c>
      <c r="D35" s="196">
        <f t="shared" si="0"/>
        <v>4.5133355593449315E-4</v>
      </c>
      <c r="E35" s="355"/>
      <c r="F35" s="304"/>
      <c r="G35" s="368"/>
      <c r="H35" s="368"/>
      <c r="I35" s="263"/>
      <c r="J35" s="67"/>
      <c r="K35" s="67"/>
      <c r="L35" s="67"/>
      <c r="M35" s="67"/>
    </row>
    <row r="36" spans="1:15" ht="14.5" x14ac:dyDescent="0.35">
      <c r="A36" s="6" t="s">
        <v>12</v>
      </c>
      <c r="B36" s="377">
        <v>4706023</v>
      </c>
      <c r="C36" s="378">
        <v>3</v>
      </c>
      <c r="D36" s="196">
        <f t="shared" si="0"/>
        <v>5.3713517712516664E-4</v>
      </c>
      <c r="E36" s="355"/>
      <c r="F36" s="304"/>
      <c r="G36" s="368"/>
      <c r="H36" s="368"/>
      <c r="I36" s="263"/>
      <c r="J36" s="67"/>
      <c r="K36" s="67"/>
      <c r="L36" s="67"/>
      <c r="M36" s="67"/>
    </row>
    <row r="37" spans="1:15" ht="14.5" x14ac:dyDescent="0.35">
      <c r="A37" s="6" t="s">
        <v>13</v>
      </c>
      <c r="B37" s="377">
        <v>5924616</v>
      </c>
      <c r="C37" s="378">
        <v>2</v>
      </c>
      <c r="D37" s="196">
        <f t="shared" si="0"/>
        <v>6.7622271811221409E-4</v>
      </c>
      <c r="E37" s="355"/>
      <c r="F37" s="304"/>
      <c r="G37" s="368"/>
      <c r="H37" s="368"/>
      <c r="I37" s="263"/>
      <c r="J37" s="67"/>
      <c r="K37" s="67"/>
      <c r="L37" s="67"/>
      <c r="M37" s="67"/>
    </row>
    <row r="38" spans="1:15" ht="14.5" x14ac:dyDescent="0.35">
      <c r="A38" s="6" t="s">
        <v>14</v>
      </c>
      <c r="B38" s="377">
        <v>11267191.859999999</v>
      </c>
      <c r="C38" s="378">
        <v>4</v>
      </c>
      <c r="D38" s="196">
        <f t="shared" si="0"/>
        <v>1.2860126470746818E-3</v>
      </c>
      <c r="E38" s="355"/>
      <c r="F38" s="304"/>
      <c r="G38" s="368"/>
      <c r="H38" s="368"/>
      <c r="I38" s="263"/>
      <c r="J38" s="67"/>
      <c r="K38" s="67"/>
      <c r="L38" s="67"/>
      <c r="M38" s="67"/>
      <c r="O38" s="54"/>
    </row>
    <row r="39" spans="1:15" ht="15" thickBot="1" x14ac:dyDescent="0.4">
      <c r="A39" s="4" t="s">
        <v>15</v>
      </c>
      <c r="B39" s="379">
        <v>112909910.72</v>
      </c>
      <c r="C39" s="380">
        <v>44</v>
      </c>
      <c r="D39" s="192">
        <f t="shared" si="0"/>
        <v>1.2887290371036E-2</v>
      </c>
      <c r="E39" s="355"/>
      <c r="F39" s="304"/>
      <c r="G39" s="374"/>
      <c r="H39" s="374"/>
      <c r="I39" s="263"/>
      <c r="J39" s="67"/>
      <c r="K39" s="67"/>
      <c r="L39" s="67"/>
      <c r="M39" s="67"/>
      <c r="O39" s="54"/>
    </row>
    <row r="40" spans="1:15" ht="15" thickTop="1" x14ac:dyDescent="0.35">
      <c r="A40" s="1" t="s">
        <v>1</v>
      </c>
      <c r="B40" s="18">
        <f>SUM(B28:B39)</f>
        <v>8761338300.6999989</v>
      </c>
      <c r="C40" s="381">
        <f>SUM(C28:C39)</f>
        <v>6852</v>
      </c>
      <c r="D40" s="344">
        <f>SUM(D28:D39)</f>
        <v>1.0000000000000002</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226638144.39000002</v>
      </c>
      <c r="C46" s="373">
        <v>2002</v>
      </c>
      <c r="D46" s="196">
        <f>B46/$B$40</f>
        <v>2.5867982334604345E-2</v>
      </c>
      <c r="E46" s="384"/>
      <c r="O46" s="54"/>
    </row>
    <row r="47" spans="1:15" x14ac:dyDescent="0.3">
      <c r="A47" s="6" t="s">
        <v>221</v>
      </c>
      <c r="B47" s="372">
        <v>813687050.34000039</v>
      </c>
      <c r="C47" s="373">
        <v>1068</v>
      </c>
      <c r="D47" s="196">
        <f t="shared" ref="D47:D49" si="1">B47/$B$40</f>
        <v>9.2872461079945942E-2</v>
      </c>
      <c r="E47" s="384"/>
      <c r="O47" s="54"/>
    </row>
    <row r="48" spans="1:15" x14ac:dyDescent="0.3">
      <c r="A48" s="6" t="s">
        <v>222</v>
      </c>
      <c r="B48" s="372">
        <v>3315058136.8100004</v>
      </c>
      <c r="C48" s="373">
        <v>2219</v>
      </c>
      <c r="D48" s="196">
        <f t="shared" si="1"/>
        <v>0.37837348850519098</v>
      </c>
      <c r="E48" s="384"/>
      <c r="O48" s="54"/>
    </row>
    <row r="49" spans="1:15" x14ac:dyDescent="0.3">
      <c r="A49" s="6" t="s">
        <v>223</v>
      </c>
      <c r="B49" s="372">
        <v>2703396145.5000019</v>
      </c>
      <c r="C49" s="373">
        <v>1120</v>
      </c>
      <c r="D49" s="196">
        <f t="shared" si="1"/>
        <v>0.30855972600487419</v>
      </c>
      <c r="E49" s="384"/>
      <c r="O49" s="54"/>
    </row>
    <row r="50" spans="1:15" ht="14" thickBot="1" x14ac:dyDescent="0.35">
      <c r="A50" s="4" t="s">
        <v>224</v>
      </c>
      <c r="B50" s="379">
        <v>1702558823.6599996</v>
      </c>
      <c r="C50" s="380">
        <v>443</v>
      </c>
      <c r="D50" s="192">
        <f>B50/$B$40</f>
        <v>0.19432634207538493</v>
      </c>
      <c r="E50" s="384"/>
      <c r="O50" s="54"/>
    </row>
    <row r="51" spans="1:15" ht="14" thickTop="1" x14ac:dyDescent="0.3">
      <c r="A51" s="1" t="s">
        <v>1</v>
      </c>
      <c r="B51" s="18">
        <f>SUM(B46:B50)</f>
        <v>8761338300.7000027</v>
      </c>
      <c r="C51" s="381">
        <f>SUM(C46:C50)</f>
        <v>6852</v>
      </c>
      <c r="D51" s="344">
        <f>SUM(D46:D50)</f>
        <v>1.0000000000000004</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268274233.63999999</v>
      </c>
      <c r="C56" s="387">
        <v>101784698.34</v>
      </c>
      <c r="D56" s="387">
        <v>52468606.920000002</v>
      </c>
      <c r="E56" s="387">
        <v>50095709.57</v>
      </c>
      <c r="F56" s="387">
        <v>42391760.810000002</v>
      </c>
      <c r="G56" s="387">
        <v>21533458</v>
      </c>
      <c r="H56" s="387">
        <v>0</v>
      </c>
      <c r="I56" s="387">
        <v>0</v>
      </c>
      <c r="J56" s="387">
        <v>0</v>
      </c>
      <c r="K56" s="387">
        <v>0</v>
      </c>
      <c r="L56" s="387">
        <v>0</v>
      </c>
      <c r="M56" s="387">
        <v>0</v>
      </c>
      <c r="N56" s="447">
        <v>0</v>
      </c>
      <c r="O56" s="54"/>
    </row>
    <row r="57" spans="1:15" ht="14.5" x14ac:dyDescent="0.35">
      <c r="A57" s="154" t="s">
        <v>29</v>
      </c>
      <c r="B57" s="387">
        <f t="shared" ref="B57:B74" si="2">SUM(C57:N57)</f>
        <v>604659656.19999993</v>
      </c>
      <c r="C57" s="387">
        <v>131505337.18999998</v>
      </c>
      <c r="D57" s="387">
        <v>117972773.77</v>
      </c>
      <c r="E57" s="387">
        <v>132485963.44999999</v>
      </c>
      <c r="F57" s="387">
        <v>137727541.78</v>
      </c>
      <c r="G57" s="387">
        <v>77772571.00999999</v>
      </c>
      <c r="H57" s="387">
        <v>0</v>
      </c>
      <c r="I57" s="387">
        <v>7195469</v>
      </c>
      <c r="J57" s="387">
        <v>0</v>
      </c>
      <c r="K57" s="387">
        <v>0</v>
      </c>
      <c r="L57" s="387">
        <v>0</v>
      </c>
      <c r="M57" s="387">
        <v>0</v>
      </c>
      <c r="N57" s="448">
        <v>0</v>
      </c>
      <c r="O57" s="54"/>
    </row>
    <row r="58" spans="1:15" ht="14.5" x14ac:dyDescent="0.35">
      <c r="A58" s="154" t="s">
        <v>30</v>
      </c>
      <c r="B58" s="387">
        <f t="shared" si="2"/>
        <v>71559251.25</v>
      </c>
      <c r="C58" s="387">
        <v>21171751.620000001</v>
      </c>
      <c r="D58" s="387">
        <v>14665719.43</v>
      </c>
      <c r="E58" s="387">
        <v>3588525.16</v>
      </c>
      <c r="F58" s="387">
        <v>10589613</v>
      </c>
      <c r="G58" s="387">
        <v>9520553</v>
      </c>
      <c r="H58" s="387">
        <v>0</v>
      </c>
      <c r="I58" s="387">
        <v>0</v>
      </c>
      <c r="J58" s="387">
        <v>0</v>
      </c>
      <c r="K58" s="387">
        <v>0</v>
      </c>
      <c r="L58" s="387">
        <v>0</v>
      </c>
      <c r="M58" s="387">
        <v>0</v>
      </c>
      <c r="N58" s="448">
        <v>12023089.039999999</v>
      </c>
      <c r="O58" s="54"/>
    </row>
    <row r="59" spans="1:15" ht="14.5" x14ac:dyDescent="0.35">
      <c r="A59" s="154" t="s">
        <v>142</v>
      </c>
      <c r="B59" s="387">
        <f t="shared" si="2"/>
        <v>3798393.74</v>
      </c>
      <c r="C59" s="387">
        <v>288638</v>
      </c>
      <c r="D59" s="387">
        <v>0</v>
      </c>
      <c r="E59" s="387">
        <v>0</v>
      </c>
      <c r="F59" s="387">
        <v>3509755.74</v>
      </c>
      <c r="G59" s="387">
        <v>0</v>
      </c>
      <c r="H59" s="387">
        <v>0</v>
      </c>
      <c r="I59" s="387">
        <v>0</v>
      </c>
      <c r="J59" s="387">
        <v>0</v>
      </c>
      <c r="K59" s="387">
        <v>0</v>
      </c>
      <c r="L59" s="387">
        <v>0</v>
      </c>
      <c r="M59" s="387">
        <v>0</v>
      </c>
      <c r="N59" s="448">
        <v>0</v>
      </c>
      <c r="O59" s="54"/>
    </row>
    <row r="60" spans="1:15" ht="14.5" x14ac:dyDescent="0.35">
      <c r="A60" s="154" t="s">
        <v>31</v>
      </c>
      <c r="B60" s="387">
        <f t="shared" si="2"/>
        <v>23278370.030000001</v>
      </c>
      <c r="C60" s="387">
        <v>3608849.0300000003</v>
      </c>
      <c r="D60" s="387">
        <v>657409</v>
      </c>
      <c r="E60" s="387">
        <v>8183147</v>
      </c>
      <c r="F60" s="387">
        <v>7781901</v>
      </c>
      <c r="G60" s="387">
        <v>3047064</v>
      </c>
      <c r="H60" s="387">
        <v>0</v>
      </c>
      <c r="I60" s="387">
        <v>0</v>
      </c>
      <c r="J60" s="387">
        <v>0</v>
      </c>
      <c r="K60" s="387">
        <v>0</v>
      </c>
      <c r="L60" s="387">
        <v>0</v>
      </c>
      <c r="M60" s="387">
        <v>0</v>
      </c>
      <c r="N60" s="448">
        <v>0</v>
      </c>
      <c r="O60" s="54"/>
    </row>
    <row r="61" spans="1:15" ht="14.5" x14ac:dyDescent="0.35">
      <c r="A61" s="154" t="s">
        <v>32</v>
      </c>
      <c r="B61" s="387">
        <f t="shared" si="2"/>
        <v>957732113.51000011</v>
      </c>
      <c r="C61" s="387">
        <v>179886382.96000001</v>
      </c>
      <c r="D61" s="387">
        <v>111207500.01000001</v>
      </c>
      <c r="E61" s="387">
        <v>214981030.17000002</v>
      </c>
      <c r="F61" s="387">
        <v>256080128.73000002</v>
      </c>
      <c r="G61" s="387">
        <v>145259613.57999998</v>
      </c>
      <c r="H61" s="387">
        <v>19483315.579999998</v>
      </c>
      <c r="I61" s="387">
        <v>0</v>
      </c>
      <c r="J61" s="387">
        <v>2513238.9700000002</v>
      </c>
      <c r="K61" s="387">
        <v>0</v>
      </c>
      <c r="L61" s="387">
        <v>0</v>
      </c>
      <c r="M61" s="387">
        <v>2585103.77</v>
      </c>
      <c r="N61" s="448">
        <v>25735799.740000002</v>
      </c>
      <c r="O61" s="54"/>
    </row>
    <row r="62" spans="1:15" ht="14.5" x14ac:dyDescent="0.35">
      <c r="A62" s="154" t="s">
        <v>143</v>
      </c>
      <c r="B62" s="387">
        <f t="shared" si="2"/>
        <v>12790804.17</v>
      </c>
      <c r="C62" s="387">
        <v>1528533</v>
      </c>
      <c r="D62" s="387">
        <v>2164591</v>
      </c>
      <c r="E62" s="387">
        <v>2635785.17</v>
      </c>
      <c r="F62" s="387">
        <v>3044498</v>
      </c>
      <c r="G62" s="387">
        <v>3417397</v>
      </c>
      <c r="H62" s="387">
        <v>0</v>
      </c>
      <c r="I62" s="387">
        <v>0</v>
      </c>
      <c r="J62" s="387">
        <v>0</v>
      </c>
      <c r="K62" s="387">
        <v>0</v>
      </c>
      <c r="L62" s="387">
        <v>0</v>
      </c>
      <c r="M62" s="387">
        <v>0</v>
      </c>
      <c r="N62" s="448">
        <v>0</v>
      </c>
      <c r="O62" s="54"/>
    </row>
    <row r="63" spans="1:15" ht="14.5" x14ac:dyDescent="0.35">
      <c r="A63" s="154" t="s">
        <v>33</v>
      </c>
      <c r="B63" s="387">
        <f t="shared" si="2"/>
        <v>4638720.8900000006</v>
      </c>
      <c r="C63" s="387">
        <v>538364.89</v>
      </c>
      <c r="D63" s="387">
        <v>0</v>
      </c>
      <c r="E63" s="387">
        <v>2400000</v>
      </c>
      <c r="F63" s="387">
        <v>1700356</v>
      </c>
      <c r="G63" s="387">
        <v>0</v>
      </c>
      <c r="H63" s="387">
        <v>0</v>
      </c>
      <c r="I63" s="387">
        <v>0</v>
      </c>
      <c r="J63" s="387">
        <v>0</v>
      </c>
      <c r="K63" s="387">
        <v>0</v>
      </c>
      <c r="L63" s="387">
        <v>0</v>
      </c>
      <c r="M63" s="387">
        <v>0</v>
      </c>
      <c r="N63" s="448">
        <v>0</v>
      </c>
      <c r="O63" s="54"/>
    </row>
    <row r="64" spans="1:15" ht="14.5" x14ac:dyDescent="0.35">
      <c r="A64" s="154" t="s">
        <v>34</v>
      </c>
      <c r="B64" s="387">
        <f t="shared" si="2"/>
        <v>18852341.859999999</v>
      </c>
      <c r="C64" s="387">
        <v>5400617.8599999994</v>
      </c>
      <c r="D64" s="387">
        <v>1629827</v>
      </c>
      <c r="E64" s="387">
        <v>343937</v>
      </c>
      <c r="F64" s="387">
        <v>9594022</v>
      </c>
      <c r="G64" s="387">
        <v>1883938</v>
      </c>
      <c r="H64" s="387">
        <v>0</v>
      </c>
      <c r="I64" s="387">
        <v>0</v>
      </c>
      <c r="J64" s="387">
        <v>0</v>
      </c>
      <c r="K64" s="387">
        <v>0</v>
      </c>
      <c r="L64" s="387">
        <v>0</v>
      </c>
      <c r="M64" s="387">
        <v>0</v>
      </c>
      <c r="N64" s="448">
        <v>0</v>
      </c>
      <c r="O64" s="54"/>
    </row>
    <row r="65" spans="1:15" ht="14.5" x14ac:dyDescent="0.35">
      <c r="A65" s="154" t="s">
        <v>35</v>
      </c>
      <c r="B65" s="387">
        <f t="shared" si="2"/>
        <v>357600207.63</v>
      </c>
      <c r="C65" s="387">
        <v>129713319.12999998</v>
      </c>
      <c r="D65" s="387">
        <v>63896207.269999996</v>
      </c>
      <c r="E65" s="387">
        <v>88843991.379999995</v>
      </c>
      <c r="F65" s="387">
        <v>34697763.850000001</v>
      </c>
      <c r="G65" s="387">
        <v>27705425</v>
      </c>
      <c r="H65" s="387">
        <v>4061765</v>
      </c>
      <c r="I65" s="387">
        <v>3094736</v>
      </c>
      <c r="J65" s="387">
        <v>0</v>
      </c>
      <c r="K65" s="387">
        <v>0</v>
      </c>
      <c r="L65" s="387">
        <v>0</v>
      </c>
      <c r="M65" s="387">
        <v>0</v>
      </c>
      <c r="N65" s="448">
        <v>5587000</v>
      </c>
      <c r="O65" s="54"/>
    </row>
    <row r="66" spans="1:15" ht="14.5" x14ac:dyDescent="0.35">
      <c r="A66" s="154" t="s">
        <v>36</v>
      </c>
      <c r="B66" s="387">
        <f t="shared" si="2"/>
        <v>3549894843.5600004</v>
      </c>
      <c r="C66" s="387">
        <v>756392874.96000075</v>
      </c>
      <c r="D66" s="387">
        <v>451900705.93999988</v>
      </c>
      <c r="E66" s="387">
        <v>755154842.50000012</v>
      </c>
      <c r="F66" s="387">
        <v>904747933.4000001</v>
      </c>
      <c r="G66" s="387">
        <v>615474024.06000006</v>
      </c>
      <c r="H66" s="387">
        <v>14924697.539999999</v>
      </c>
      <c r="I66" s="387">
        <v>4734767.2200000007</v>
      </c>
      <c r="J66" s="387">
        <v>1441047</v>
      </c>
      <c r="K66" s="387">
        <v>4706023</v>
      </c>
      <c r="L66" s="387">
        <v>0</v>
      </c>
      <c r="M66" s="387">
        <v>7117394.46</v>
      </c>
      <c r="N66" s="448">
        <v>33300533.479999997</v>
      </c>
      <c r="O66" s="54"/>
    </row>
    <row r="67" spans="1:15" ht="14.5" x14ac:dyDescent="0.35">
      <c r="A67" s="154" t="s">
        <v>37</v>
      </c>
      <c r="B67" s="387">
        <f t="shared" si="2"/>
        <v>336919871.93000001</v>
      </c>
      <c r="C67" s="387">
        <v>79170630.019999996</v>
      </c>
      <c r="D67" s="387">
        <v>61509271.100000001</v>
      </c>
      <c r="E67" s="387">
        <v>51085458.950000003</v>
      </c>
      <c r="F67" s="387">
        <v>79373368.860000014</v>
      </c>
      <c r="G67" s="387">
        <v>62702320</v>
      </c>
      <c r="H67" s="387">
        <v>3078823</v>
      </c>
      <c r="I67" s="387">
        <v>0</v>
      </c>
      <c r="J67" s="387">
        <v>0</v>
      </c>
      <c r="K67" s="387">
        <v>0</v>
      </c>
      <c r="L67" s="387">
        <v>0</v>
      </c>
      <c r="M67" s="387">
        <v>0</v>
      </c>
      <c r="N67" s="448">
        <v>0</v>
      </c>
      <c r="O67" s="54"/>
    </row>
    <row r="68" spans="1:15" ht="14.5" x14ac:dyDescent="0.35">
      <c r="A68" s="154" t="s">
        <v>38</v>
      </c>
      <c r="B68" s="387">
        <f t="shared" si="2"/>
        <v>35714483.579999998</v>
      </c>
      <c r="C68" s="387">
        <v>11463636.109999999</v>
      </c>
      <c r="D68" s="387">
        <v>10238153.379999999</v>
      </c>
      <c r="E68" s="387">
        <v>0</v>
      </c>
      <c r="F68" s="387">
        <v>0</v>
      </c>
      <c r="G68" s="387">
        <v>0</v>
      </c>
      <c r="H68" s="387">
        <v>1307291</v>
      </c>
      <c r="I68" s="387">
        <v>1638015</v>
      </c>
      <c r="J68" s="387">
        <v>0</v>
      </c>
      <c r="K68" s="387">
        <v>0</v>
      </c>
      <c r="L68" s="387">
        <v>0</v>
      </c>
      <c r="M68" s="387">
        <v>1564693.63</v>
      </c>
      <c r="N68" s="448">
        <v>9502694.4600000009</v>
      </c>
      <c r="O68" s="54"/>
    </row>
    <row r="69" spans="1:15" ht="14.5" x14ac:dyDescent="0.35">
      <c r="A69" s="154" t="s">
        <v>39</v>
      </c>
      <c r="B69" s="387">
        <f t="shared" si="2"/>
        <v>15175492.539999999</v>
      </c>
      <c r="C69" s="387">
        <v>2429219.54</v>
      </c>
      <c r="D69" s="387">
        <v>3750218</v>
      </c>
      <c r="E69" s="387">
        <v>8996055</v>
      </c>
      <c r="F69" s="387">
        <v>0</v>
      </c>
      <c r="G69" s="387">
        <v>0</v>
      </c>
      <c r="H69" s="387">
        <v>0</v>
      </c>
      <c r="I69" s="387">
        <v>0</v>
      </c>
      <c r="J69" s="387">
        <v>0</v>
      </c>
      <c r="K69" s="387">
        <v>0</v>
      </c>
      <c r="L69" s="387">
        <v>0</v>
      </c>
      <c r="M69" s="387">
        <v>0</v>
      </c>
      <c r="N69" s="448">
        <v>0</v>
      </c>
      <c r="O69" s="54"/>
    </row>
    <row r="70" spans="1:15" ht="14.5" x14ac:dyDescent="0.35">
      <c r="A70" s="154" t="s">
        <v>267</v>
      </c>
      <c r="B70" s="387">
        <f t="shared" si="2"/>
        <v>32832511.199999999</v>
      </c>
      <c r="C70" s="387">
        <v>7726816.2000000002</v>
      </c>
      <c r="D70" s="387">
        <v>7471975</v>
      </c>
      <c r="E70" s="387">
        <v>2530072</v>
      </c>
      <c r="F70" s="387">
        <v>13303648</v>
      </c>
      <c r="G70" s="387">
        <v>1800000</v>
      </c>
      <c r="H70" s="387">
        <v>0</v>
      </c>
      <c r="I70" s="387">
        <v>0</v>
      </c>
      <c r="J70" s="387">
        <v>0</v>
      </c>
      <c r="K70" s="387">
        <v>0</v>
      </c>
      <c r="L70" s="387">
        <v>0</v>
      </c>
      <c r="M70" s="387">
        <v>0</v>
      </c>
      <c r="N70" s="448">
        <v>0</v>
      </c>
      <c r="O70" s="54"/>
    </row>
    <row r="71" spans="1:15" ht="14.5" x14ac:dyDescent="0.35">
      <c r="A71" s="154" t="s">
        <v>40</v>
      </c>
      <c r="B71" s="387">
        <f t="shared" si="2"/>
        <v>2393437887.2800002</v>
      </c>
      <c r="C71" s="387">
        <v>540377229.85000026</v>
      </c>
      <c r="D71" s="387">
        <v>378597461.81999993</v>
      </c>
      <c r="E71" s="387">
        <v>544147960.12999988</v>
      </c>
      <c r="F71" s="387">
        <v>607825852.51999998</v>
      </c>
      <c r="G71" s="387">
        <v>273296114.63</v>
      </c>
      <c r="H71" s="387">
        <v>10846649.33</v>
      </c>
      <c r="I71" s="387">
        <v>8592582</v>
      </c>
      <c r="J71" s="387">
        <v>0</v>
      </c>
      <c r="K71" s="387">
        <v>0</v>
      </c>
      <c r="L71" s="387">
        <v>3199787</v>
      </c>
      <c r="M71" s="387">
        <v>0</v>
      </c>
      <c r="N71" s="448">
        <v>26554250</v>
      </c>
      <c r="O71" s="54"/>
    </row>
    <row r="72" spans="1:15" ht="14.5" x14ac:dyDescent="0.35">
      <c r="A72" s="154" t="s">
        <v>41</v>
      </c>
      <c r="B72" s="387">
        <f t="shared" si="2"/>
        <v>47448728.390000001</v>
      </c>
      <c r="C72" s="387">
        <v>9822282.4699999988</v>
      </c>
      <c r="D72" s="387">
        <v>14210399</v>
      </c>
      <c r="E72" s="387">
        <v>17133963</v>
      </c>
      <c r="F72" s="387">
        <v>6282083.9199999999</v>
      </c>
      <c r="G72" s="387">
        <v>0</v>
      </c>
      <c r="H72" s="387">
        <v>0</v>
      </c>
      <c r="I72" s="387">
        <v>0</v>
      </c>
      <c r="J72" s="387">
        <v>0</v>
      </c>
      <c r="K72" s="387">
        <v>0</v>
      </c>
      <c r="L72" s="387">
        <v>0</v>
      </c>
      <c r="M72" s="387">
        <v>0</v>
      </c>
      <c r="N72" s="448">
        <v>0</v>
      </c>
      <c r="O72" s="54"/>
    </row>
    <row r="73" spans="1:15" ht="14.5" x14ac:dyDescent="0.35">
      <c r="A73" s="154" t="s">
        <v>145</v>
      </c>
      <c r="B73" s="387">
        <f t="shared" si="2"/>
        <v>24040006.82</v>
      </c>
      <c r="C73" s="387">
        <v>4238917.82</v>
      </c>
      <c r="D73" s="387">
        <v>2943262</v>
      </c>
      <c r="E73" s="387">
        <v>4914973</v>
      </c>
      <c r="F73" s="387">
        <v>6325802</v>
      </c>
      <c r="G73" s="387">
        <v>2892223</v>
      </c>
      <c r="H73" s="387">
        <v>0</v>
      </c>
      <c r="I73" s="387">
        <v>0</v>
      </c>
      <c r="J73" s="387">
        <v>0</v>
      </c>
      <c r="K73" s="387">
        <v>0</v>
      </c>
      <c r="L73" s="387">
        <v>2724829</v>
      </c>
      <c r="M73" s="387">
        <v>0</v>
      </c>
      <c r="N73" s="448">
        <v>0</v>
      </c>
      <c r="O73" s="54"/>
    </row>
    <row r="74" spans="1:15" ht="15" thickBot="1" x14ac:dyDescent="0.4">
      <c r="A74" s="154" t="s">
        <v>165</v>
      </c>
      <c r="B74" s="390">
        <f t="shared" si="2"/>
        <v>2690382.48</v>
      </c>
      <c r="C74" s="390">
        <v>1090896</v>
      </c>
      <c r="D74" s="390">
        <v>1392942.48</v>
      </c>
      <c r="E74" s="390">
        <v>0</v>
      </c>
      <c r="F74" s="390">
        <v>0</v>
      </c>
      <c r="G74" s="390">
        <v>0</v>
      </c>
      <c r="H74" s="390">
        <v>0</v>
      </c>
      <c r="I74" s="390">
        <v>0</v>
      </c>
      <c r="J74" s="390">
        <v>0</v>
      </c>
      <c r="K74" s="390">
        <v>0</v>
      </c>
      <c r="L74" s="390">
        <v>0</v>
      </c>
      <c r="M74" s="390">
        <v>0</v>
      </c>
      <c r="N74" s="449">
        <v>206544</v>
      </c>
      <c r="O74" s="54"/>
    </row>
    <row r="75" spans="1:15" ht="14" thickTop="1" x14ac:dyDescent="0.3">
      <c r="A75" s="45" t="s">
        <v>1</v>
      </c>
      <c r="B75" s="20">
        <f t="shared" ref="B75:N75" si="3">SUM(B56:B74)</f>
        <v>8761338300.6999989</v>
      </c>
      <c r="C75" s="20">
        <f t="shared" si="3"/>
        <v>1988138994.9900007</v>
      </c>
      <c r="D75" s="20">
        <f t="shared" si="3"/>
        <v>1296677023.1199999</v>
      </c>
      <c r="E75" s="20">
        <f t="shared" si="3"/>
        <v>1887521413.48</v>
      </c>
      <c r="F75" s="20">
        <f t="shared" si="3"/>
        <v>2124976029.6100001</v>
      </c>
      <c r="G75" s="20">
        <f t="shared" si="3"/>
        <v>1246304701.2800002</v>
      </c>
      <c r="H75" s="20">
        <f t="shared" si="3"/>
        <v>53702541.449999996</v>
      </c>
      <c r="I75" s="20">
        <f t="shared" si="3"/>
        <v>25255569.219999999</v>
      </c>
      <c r="J75" s="20">
        <f t="shared" si="3"/>
        <v>3954285.97</v>
      </c>
      <c r="K75" s="20">
        <f t="shared" si="3"/>
        <v>4706023</v>
      </c>
      <c r="L75" s="20">
        <f t="shared" si="3"/>
        <v>5924616</v>
      </c>
      <c r="M75" s="20">
        <f t="shared" si="3"/>
        <v>11267191.859999999</v>
      </c>
      <c r="N75" s="20">
        <f t="shared" si="3"/>
        <v>112909910.72</v>
      </c>
      <c r="O75" s="54"/>
    </row>
    <row r="76" spans="1:15" x14ac:dyDescent="0.3">
      <c r="A76" s="37"/>
      <c r="B76" s="38"/>
      <c r="C76" s="38"/>
      <c r="D76" s="38"/>
      <c r="E76" s="38"/>
      <c r="F76" s="38"/>
      <c r="G76" s="38"/>
      <c r="H76" s="38"/>
      <c r="I76" s="392"/>
      <c r="J76" s="392"/>
      <c r="K76" s="392"/>
      <c r="L76" s="392"/>
      <c r="M76" s="392"/>
      <c r="N76" s="392"/>
      <c r="O76" s="54"/>
    </row>
    <row r="77" spans="1:15" x14ac:dyDescent="0.3">
      <c r="A77" s="37"/>
      <c r="B77" s="38"/>
      <c r="C77" s="38"/>
      <c r="D77" s="459">
        <v>-1</v>
      </c>
      <c r="E77" s="38"/>
      <c r="F77" s="38"/>
      <c r="G77" s="38"/>
      <c r="H77" s="38"/>
      <c r="I77" s="392"/>
      <c r="J77" s="392"/>
      <c r="K77" s="392"/>
      <c r="L77" s="392"/>
      <c r="M77" s="392"/>
      <c r="N77" s="392"/>
      <c r="O77" s="54"/>
    </row>
    <row r="78" spans="1:15" x14ac:dyDescent="0.3">
      <c r="O78" s="54"/>
    </row>
    <row r="79" spans="1:15" x14ac:dyDescent="0.3">
      <c r="A79" s="187" t="s">
        <v>226</v>
      </c>
      <c r="B79" s="187"/>
      <c r="C79" s="187"/>
      <c r="D79" s="187"/>
      <c r="E79" s="187"/>
      <c r="F79" s="187"/>
      <c r="G79" s="187"/>
      <c r="H79" s="187"/>
      <c r="I79" s="187"/>
      <c r="J79" s="187"/>
      <c r="K79" s="187"/>
      <c r="L79" s="187"/>
      <c r="M79" s="187"/>
      <c r="N79" s="187"/>
      <c r="O79" s="54"/>
    </row>
    <row r="80" spans="1:15"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c r="O80" s="185"/>
    </row>
    <row r="81" spans="1:16" x14ac:dyDescent="0.3">
      <c r="A81" s="12"/>
      <c r="B81" s="11"/>
      <c r="C81" s="13"/>
      <c r="D81" s="13"/>
      <c r="E81" s="17"/>
      <c r="F81" s="13"/>
      <c r="G81" s="13"/>
      <c r="H81" s="13"/>
      <c r="I81" s="13"/>
      <c r="J81" s="13"/>
      <c r="K81" s="13"/>
      <c r="L81" s="13"/>
      <c r="M81" s="13"/>
      <c r="N81" s="13"/>
      <c r="O81" s="54"/>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c r="O82" s="54"/>
    </row>
    <row r="83" spans="1:16" x14ac:dyDescent="0.3">
      <c r="A83" s="41" t="s">
        <v>182</v>
      </c>
      <c r="B83" s="437">
        <f>SUM(C83:N83)</f>
        <v>8761338300.6999989</v>
      </c>
      <c r="C83" s="394">
        <f>+C99-C84-C85-C86</f>
        <v>1988138994.9900012</v>
      </c>
      <c r="D83" s="394">
        <f t="shared" ref="D83:N83" si="4">+D99-D84-D85-D86</f>
        <v>1296677023.1199996</v>
      </c>
      <c r="E83" s="394">
        <f t="shared" si="4"/>
        <v>1887521413.4799998</v>
      </c>
      <c r="F83" s="394">
        <f t="shared" si="4"/>
        <v>2124976029.6099997</v>
      </c>
      <c r="G83" s="394">
        <f t="shared" si="4"/>
        <v>1246304701.28</v>
      </c>
      <c r="H83" s="394">
        <f t="shared" si="4"/>
        <v>53702541.449999996</v>
      </c>
      <c r="I83" s="394">
        <f t="shared" si="4"/>
        <v>25255569.219999999</v>
      </c>
      <c r="J83" s="394">
        <f t="shared" si="4"/>
        <v>3954285.97</v>
      </c>
      <c r="K83" s="394">
        <f t="shared" si="4"/>
        <v>4706023</v>
      </c>
      <c r="L83" s="394">
        <f t="shared" si="4"/>
        <v>5924616</v>
      </c>
      <c r="M83" s="394">
        <f t="shared" si="4"/>
        <v>11267191.859999999</v>
      </c>
      <c r="N83" s="394">
        <f t="shared" si="4"/>
        <v>112909910.72</v>
      </c>
      <c r="O83" s="54"/>
    </row>
    <row r="84" spans="1:16" x14ac:dyDescent="0.3">
      <c r="A84" s="49" t="s">
        <v>183</v>
      </c>
      <c r="B84" s="397">
        <f t="shared" ref="B84:B86" si="5">SUM(C84:N84)</f>
        <v>0</v>
      </c>
      <c r="C84" s="395"/>
      <c r="D84" s="395">
        <v>0</v>
      </c>
      <c r="E84" s="395"/>
      <c r="F84" s="395"/>
      <c r="G84" s="395"/>
      <c r="H84" s="395"/>
      <c r="I84" s="398"/>
      <c r="J84" s="398"/>
      <c r="K84" s="398"/>
      <c r="L84" s="398"/>
      <c r="M84" s="398"/>
      <c r="N84" s="398"/>
      <c r="O84" s="399"/>
    </row>
    <row r="85" spans="1:16" x14ac:dyDescent="0.3">
      <c r="A85" s="42" t="s">
        <v>184</v>
      </c>
      <c r="B85" s="397">
        <f t="shared" si="5"/>
        <v>0</v>
      </c>
      <c r="C85" s="400"/>
      <c r="D85" s="400"/>
      <c r="E85" s="401"/>
      <c r="F85" s="395"/>
      <c r="G85" s="395"/>
      <c r="H85" s="395"/>
      <c r="I85" s="398"/>
      <c r="J85" s="398"/>
      <c r="K85" s="398"/>
      <c r="L85" s="398"/>
      <c r="M85" s="398"/>
      <c r="N85" s="402"/>
      <c r="O85" s="54"/>
    </row>
    <row r="86" spans="1:16" ht="14" thickBot="1" x14ac:dyDescent="0.35">
      <c r="A86" s="42" t="s">
        <v>185</v>
      </c>
      <c r="B86" s="397">
        <f t="shared" si="5"/>
        <v>0</v>
      </c>
      <c r="C86" s="400"/>
      <c r="D86" s="400"/>
      <c r="E86" s="401"/>
      <c r="F86" s="395"/>
      <c r="G86" s="395"/>
      <c r="H86" s="395"/>
      <c r="I86" s="398"/>
      <c r="J86" s="398"/>
      <c r="K86" s="398"/>
      <c r="L86" s="398"/>
      <c r="M86" s="398"/>
      <c r="N86" s="402"/>
      <c r="O86" s="54"/>
    </row>
    <row r="87" spans="1:16" ht="14" thickTop="1" x14ac:dyDescent="0.3">
      <c r="A87" s="44" t="s">
        <v>1</v>
      </c>
      <c r="B87" s="22">
        <f t="shared" ref="B87:N87" si="6">SUM(B83:B86)</f>
        <v>8761338300.6999989</v>
      </c>
      <c r="C87" s="22">
        <f t="shared" si="6"/>
        <v>1988138994.9900012</v>
      </c>
      <c r="D87" s="22">
        <f t="shared" si="6"/>
        <v>1296677023.1199996</v>
      </c>
      <c r="E87" s="22">
        <f t="shared" si="6"/>
        <v>1887521413.4799998</v>
      </c>
      <c r="F87" s="22">
        <f t="shared" si="6"/>
        <v>2124976029.6099997</v>
      </c>
      <c r="G87" s="22">
        <f t="shared" si="6"/>
        <v>1246304701.28</v>
      </c>
      <c r="H87" s="22">
        <f t="shared" si="6"/>
        <v>53702541.449999996</v>
      </c>
      <c r="I87" s="22">
        <f t="shared" si="6"/>
        <v>25255569.219999999</v>
      </c>
      <c r="J87" s="22">
        <f t="shared" si="6"/>
        <v>3954285.97</v>
      </c>
      <c r="K87" s="22">
        <f t="shared" si="6"/>
        <v>4706023</v>
      </c>
      <c r="L87" s="22">
        <f t="shared" si="6"/>
        <v>5924616</v>
      </c>
      <c r="M87" s="22">
        <f t="shared" si="6"/>
        <v>11267191.859999999</v>
      </c>
      <c r="N87" s="23">
        <f t="shared" si="6"/>
        <v>112909910.72</v>
      </c>
      <c r="O87" s="54"/>
    </row>
    <row r="88" spans="1:16" x14ac:dyDescent="0.3">
      <c r="A88" s="26"/>
      <c r="B88" s="40"/>
      <c r="C88" s="40"/>
      <c r="D88" s="40"/>
      <c r="E88" s="40"/>
      <c r="F88" s="40"/>
      <c r="G88" s="40"/>
      <c r="H88" s="40"/>
      <c r="I88" s="40"/>
      <c r="J88" s="40"/>
      <c r="K88" s="40"/>
      <c r="L88" s="40"/>
      <c r="M88" s="40"/>
      <c r="N88" s="40"/>
      <c r="O88" s="54"/>
    </row>
    <row r="89" spans="1:16" x14ac:dyDescent="0.3">
      <c r="O89" s="54"/>
    </row>
    <row r="90" spans="1:16" x14ac:dyDescent="0.3">
      <c r="A90" s="187" t="s">
        <v>227</v>
      </c>
      <c r="B90" s="187"/>
      <c r="C90" s="187"/>
      <c r="D90" s="187"/>
      <c r="E90" s="187"/>
      <c r="F90" s="187"/>
      <c r="G90" s="187"/>
      <c r="H90" s="187"/>
      <c r="I90" s="187"/>
      <c r="J90" s="187"/>
      <c r="K90" s="187"/>
      <c r="L90" s="187"/>
      <c r="M90" s="187"/>
      <c r="N90" s="187"/>
      <c r="O90" s="5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c r="O91" s="54"/>
    </row>
    <row r="92" spans="1:16" x14ac:dyDescent="0.3">
      <c r="A92" s="46"/>
      <c r="B92" s="11"/>
      <c r="C92" s="13"/>
      <c r="D92" s="13"/>
      <c r="E92" s="17"/>
      <c r="F92" s="13"/>
      <c r="G92" s="13"/>
      <c r="H92" s="13"/>
      <c r="I92" s="13"/>
      <c r="J92" s="13"/>
      <c r="K92" s="13"/>
      <c r="L92" s="13"/>
      <c r="M92" s="13"/>
      <c r="N92" s="13"/>
      <c r="O92" s="185"/>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c r="O93" s="54"/>
    </row>
    <row r="94" spans="1:16" x14ac:dyDescent="0.3">
      <c r="A94" s="42" t="s">
        <v>62</v>
      </c>
      <c r="B94" s="393">
        <f>SUM(C94:N94)</f>
        <v>726880716.77999997</v>
      </c>
      <c r="C94" s="393">
        <v>75943122.640000001</v>
      </c>
      <c r="D94" s="393">
        <v>65455095.209999993</v>
      </c>
      <c r="E94" s="393">
        <v>129038147.52</v>
      </c>
      <c r="F94" s="393">
        <v>178753419.07999998</v>
      </c>
      <c r="G94" s="393">
        <v>250983495.19</v>
      </c>
      <c r="H94" s="393">
        <v>2656247</v>
      </c>
      <c r="I94" s="393">
        <v>4394752</v>
      </c>
      <c r="J94" s="393">
        <v>0</v>
      </c>
      <c r="K94" s="393">
        <v>0</v>
      </c>
      <c r="L94" s="393">
        <v>3199787</v>
      </c>
      <c r="M94" s="393">
        <v>0</v>
      </c>
      <c r="N94" s="393">
        <v>16456651.140000001</v>
      </c>
      <c r="O94" s="54"/>
    </row>
    <row r="95" spans="1:16" x14ac:dyDescent="0.3">
      <c r="A95" s="42" t="s">
        <v>63</v>
      </c>
      <c r="B95" s="397">
        <f t="shared" ref="B95:B98" si="7">SUM(C95:N95)</f>
        <v>1636998676.9200001</v>
      </c>
      <c r="C95" s="397">
        <v>217676441.37000006</v>
      </c>
      <c r="D95" s="397">
        <v>215635229.48999998</v>
      </c>
      <c r="E95" s="397">
        <v>362462862.03000003</v>
      </c>
      <c r="F95" s="397">
        <v>384015349.19999999</v>
      </c>
      <c r="G95" s="397">
        <v>419905866.82999998</v>
      </c>
      <c r="H95" s="397">
        <v>4168851</v>
      </c>
      <c r="I95" s="397">
        <v>1919575</v>
      </c>
      <c r="J95" s="397">
        <v>0</v>
      </c>
      <c r="K95" s="397">
        <v>0</v>
      </c>
      <c r="L95" s="397">
        <v>0</v>
      </c>
      <c r="M95" s="397">
        <v>4875000</v>
      </c>
      <c r="N95" s="397">
        <v>26339502</v>
      </c>
      <c r="O95" s="54"/>
    </row>
    <row r="96" spans="1:16" x14ac:dyDescent="0.3">
      <c r="A96" s="42" t="s">
        <v>64</v>
      </c>
      <c r="B96" s="397">
        <f t="shared" si="7"/>
        <v>1779993142.8699996</v>
      </c>
      <c r="C96" s="397">
        <v>268082979.09000003</v>
      </c>
      <c r="D96" s="397">
        <v>254138170.83000001</v>
      </c>
      <c r="E96" s="397">
        <v>460481642.34999996</v>
      </c>
      <c r="F96" s="397">
        <v>580765833.67999995</v>
      </c>
      <c r="G96" s="397">
        <v>183978857.59</v>
      </c>
      <c r="H96" s="397">
        <v>9709518.3300000001</v>
      </c>
      <c r="I96" s="397">
        <v>6058098</v>
      </c>
      <c r="J96" s="397">
        <v>0</v>
      </c>
      <c r="K96" s="397">
        <v>2366060</v>
      </c>
      <c r="L96" s="397">
        <v>0</v>
      </c>
      <c r="M96" s="397">
        <v>0</v>
      </c>
      <c r="N96" s="397">
        <v>14411983</v>
      </c>
      <c r="O96" s="54"/>
    </row>
    <row r="97" spans="1:15" x14ac:dyDescent="0.3">
      <c r="A97" s="42" t="s">
        <v>65</v>
      </c>
      <c r="B97" s="397">
        <f t="shared" si="7"/>
        <v>2284266021.3299999</v>
      </c>
      <c r="C97" s="397">
        <v>509208730.76000005</v>
      </c>
      <c r="D97" s="397">
        <v>339586365.28000003</v>
      </c>
      <c r="E97" s="397">
        <v>493126663.33999991</v>
      </c>
      <c r="F97" s="397">
        <v>615024088.27999985</v>
      </c>
      <c r="G97" s="397">
        <v>265930146.00999999</v>
      </c>
      <c r="H97" s="397">
        <v>27879262.579999998</v>
      </c>
      <c r="I97" s="397">
        <v>8148377</v>
      </c>
      <c r="J97" s="397">
        <v>0</v>
      </c>
      <c r="K97" s="397">
        <v>0</v>
      </c>
      <c r="L97" s="397">
        <v>0</v>
      </c>
      <c r="M97" s="397">
        <v>0</v>
      </c>
      <c r="N97" s="397">
        <v>25362388.079999998</v>
      </c>
      <c r="O97" s="54"/>
    </row>
    <row r="98" spans="1:15" ht="14" thickBot="1" x14ac:dyDescent="0.35">
      <c r="A98" s="43" t="s">
        <v>66</v>
      </c>
      <c r="B98" s="409">
        <f t="shared" si="7"/>
        <v>2333199742.8000007</v>
      </c>
      <c r="C98" s="409">
        <v>917227721.13000119</v>
      </c>
      <c r="D98" s="409">
        <v>421862162.3099997</v>
      </c>
      <c r="E98" s="409">
        <v>442412098.23999995</v>
      </c>
      <c r="F98" s="409">
        <v>366417339.36999989</v>
      </c>
      <c r="G98" s="409">
        <v>125506335.66</v>
      </c>
      <c r="H98" s="409">
        <v>9288662.5399999991</v>
      </c>
      <c r="I98" s="409">
        <v>4734767.2200000007</v>
      </c>
      <c r="J98" s="409">
        <v>3954285.97</v>
      </c>
      <c r="K98" s="409">
        <v>2339963</v>
      </c>
      <c r="L98" s="409">
        <v>2724829</v>
      </c>
      <c r="M98" s="409">
        <v>6392191.8599999994</v>
      </c>
      <c r="N98" s="409">
        <v>30339386.500000004</v>
      </c>
      <c r="O98" s="54"/>
    </row>
    <row r="99" spans="1:15" ht="14" thickTop="1" x14ac:dyDescent="0.3">
      <c r="A99" s="42" t="s">
        <v>1</v>
      </c>
      <c r="B99" s="412">
        <f>SUM(B94:B98)</f>
        <v>8761338300.7000008</v>
      </c>
      <c r="C99" s="412">
        <f>SUM(C94:C98)</f>
        <v>1988138994.9900012</v>
      </c>
      <c r="D99" s="412">
        <f t="shared" ref="D99:N99" si="8">SUM(D94:D98)</f>
        <v>1296677023.1199996</v>
      </c>
      <c r="E99" s="412">
        <f t="shared" si="8"/>
        <v>1887521413.4799998</v>
      </c>
      <c r="F99" s="412">
        <f t="shared" si="8"/>
        <v>2124976029.6099997</v>
      </c>
      <c r="G99" s="412">
        <f t="shared" si="8"/>
        <v>1246304701.28</v>
      </c>
      <c r="H99" s="412">
        <f t="shared" si="8"/>
        <v>53702541.449999996</v>
      </c>
      <c r="I99" s="412">
        <f t="shared" si="8"/>
        <v>25255569.219999999</v>
      </c>
      <c r="J99" s="412">
        <f t="shared" si="8"/>
        <v>3954285.97</v>
      </c>
      <c r="K99" s="412">
        <f t="shared" si="8"/>
        <v>4706023</v>
      </c>
      <c r="L99" s="412">
        <f t="shared" si="8"/>
        <v>5924616</v>
      </c>
      <c r="M99" s="412">
        <f t="shared" si="8"/>
        <v>11267191.859999999</v>
      </c>
      <c r="N99" s="412">
        <f t="shared" si="8"/>
        <v>112909910.72</v>
      </c>
      <c r="O99" s="399"/>
    </row>
    <row r="100" spans="1:15" x14ac:dyDescent="0.3">
      <c r="A100" s="26"/>
      <c r="B100" s="413"/>
      <c r="C100" s="413"/>
      <c r="D100" s="413"/>
      <c r="E100" s="413"/>
      <c r="F100" s="413"/>
      <c r="G100" s="413"/>
      <c r="H100" s="413"/>
      <c r="I100" s="413"/>
      <c r="J100" s="413"/>
      <c r="K100" s="413"/>
      <c r="L100" s="413"/>
      <c r="M100" s="413"/>
      <c r="N100" s="413"/>
      <c r="O100" s="55"/>
    </row>
    <row r="101" spans="1:15" x14ac:dyDescent="0.3">
      <c r="A101" s="67"/>
      <c r="O101" s="54"/>
    </row>
    <row r="102" spans="1:15" x14ac:dyDescent="0.3">
      <c r="A102" s="187" t="s">
        <v>228</v>
      </c>
      <c r="B102" s="187"/>
      <c r="C102" s="187"/>
      <c r="D102" s="187"/>
      <c r="E102" s="187"/>
      <c r="F102" s="187"/>
      <c r="G102" s="187"/>
      <c r="H102" s="187"/>
      <c r="I102" s="187"/>
      <c r="J102" s="187"/>
      <c r="K102" s="187"/>
      <c r="L102" s="187"/>
      <c r="M102" s="187"/>
      <c r="N102" s="187"/>
      <c r="O102" s="54"/>
    </row>
    <row r="103" spans="1:15" x14ac:dyDescent="0.3">
      <c r="A103" s="108"/>
      <c r="B103" s="110"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c r="O103" s="54"/>
    </row>
    <row r="104" spans="1:15" x14ac:dyDescent="0.3">
      <c r="A104" s="46"/>
      <c r="B104" s="13"/>
      <c r="C104" s="13"/>
      <c r="D104" s="13"/>
      <c r="E104" s="17"/>
      <c r="F104" s="13"/>
      <c r="G104" s="13"/>
      <c r="H104" s="13"/>
      <c r="I104" s="13"/>
      <c r="J104" s="13"/>
      <c r="K104" s="13"/>
      <c r="L104" s="13"/>
      <c r="M104" s="13"/>
      <c r="N104" s="13"/>
      <c r="O104" s="54"/>
    </row>
    <row r="105" spans="1:15" ht="27" x14ac:dyDescent="0.3">
      <c r="A105" s="47"/>
      <c r="B105" s="15" t="s">
        <v>4</v>
      </c>
      <c r="C105" s="15" t="s">
        <v>4</v>
      </c>
      <c r="D105" s="15" t="s">
        <v>4</v>
      </c>
      <c r="E105" s="14" t="s">
        <v>4</v>
      </c>
      <c r="F105" s="15" t="s">
        <v>4</v>
      </c>
      <c r="G105" s="15" t="s">
        <v>4</v>
      </c>
      <c r="H105" s="15" t="s">
        <v>4</v>
      </c>
      <c r="I105" s="15" t="s">
        <v>4</v>
      </c>
      <c r="J105" s="15" t="s">
        <v>4</v>
      </c>
      <c r="K105" s="15" t="s">
        <v>4</v>
      </c>
      <c r="L105" s="15" t="s">
        <v>4</v>
      </c>
      <c r="M105" s="15" t="s">
        <v>4</v>
      </c>
      <c r="N105" s="15" t="s">
        <v>4</v>
      </c>
      <c r="O105" s="54"/>
    </row>
    <row r="106" spans="1:15" ht="14.5" x14ac:dyDescent="0.35">
      <c r="A106" s="42" t="s">
        <v>201</v>
      </c>
      <c r="B106" s="393">
        <f>SUM(C106:N106)</f>
        <v>8738627007.1000004</v>
      </c>
      <c r="C106" s="414">
        <v>1976987892.3900003</v>
      </c>
      <c r="D106" s="387">
        <v>1295285755.1200004</v>
      </c>
      <c r="E106" s="414">
        <v>1881620344.4800003</v>
      </c>
      <c r="F106" s="387">
        <v>2123464912.6099997</v>
      </c>
      <c r="G106" s="414">
        <v>1246304701.2800004</v>
      </c>
      <c r="H106" s="387">
        <v>53702541.449999996</v>
      </c>
      <c r="I106" s="414">
        <v>22498832.219999999</v>
      </c>
      <c r="J106" s="387">
        <v>3954285.97</v>
      </c>
      <c r="K106" s="414">
        <v>4706023</v>
      </c>
      <c r="L106" s="387">
        <v>5924616</v>
      </c>
      <c r="M106" s="414">
        <v>11267191.859999999</v>
      </c>
      <c r="N106" s="414">
        <v>112909910.72</v>
      </c>
      <c r="O106" s="54"/>
    </row>
    <row r="107" spans="1:15" ht="14.5" x14ac:dyDescent="0.35">
      <c r="A107" s="42" t="s">
        <v>202</v>
      </c>
      <c r="B107" s="397">
        <f t="shared" ref="B107:B109" si="9">SUM(C107:N107)</f>
        <v>14573531.6</v>
      </c>
      <c r="C107" s="415">
        <v>7832081.5999999996</v>
      </c>
      <c r="D107" s="387">
        <v>1391268</v>
      </c>
      <c r="E107" s="415">
        <v>3839065</v>
      </c>
      <c r="F107" s="387">
        <v>1511117</v>
      </c>
      <c r="G107" s="415">
        <v>0</v>
      </c>
      <c r="H107" s="387">
        <v>0</v>
      </c>
      <c r="I107" s="415">
        <v>0</v>
      </c>
      <c r="J107" s="387">
        <v>0</v>
      </c>
      <c r="K107" s="415">
        <v>0</v>
      </c>
      <c r="L107" s="387">
        <v>0</v>
      </c>
      <c r="M107" s="415">
        <v>0</v>
      </c>
      <c r="N107" s="415">
        <v>0</v>
      </c>
      <c r="O107" s="54"/>
    </row>
    <row r="108" spans="1:15" x14ac:dyDescent="0.3">
      <c r="A108" s="42" t="s">
        <v>58</v>
      </c>
      <c r="B108" s="397">
        <f t="shared" si="9"/>
        <v>7385812</v>
      </c>
      <c r="C108" s="416">
        <v>2567071</v>
      </c>
      <c r="D108" s="417">
        <v>0</v>
      </c>
      <c r="E108" s="416">
        <v>2062004</v>
      </c>
      <c r="F108" s="417">
        <v>0</v>
      </c>
      <c r="G108" s="416">
        <v>0</v>
      </c>
      <c r="H108" s="418">
        <v>0</v>
      </c>
      <c r="I108" s="419">
        <v>2756737</v>
      </c>
      <c r="J108" s="420">
        <v>0</v>
      </c>
      <c r="K108" s="419">
        <v>0</v>
      </c>
      <c r="L108" s="420">
        <v>0</v>
      </c>
      <c r="M108" s="419">
        <v>0</v>
      </c>
      <c r="N108" s="419">
        <v>0</v>
      </c>
      <c r="O108" s="54"/>
    </row>
    <row r="109" spans="1:15" ht="14" thickBot="1" x14ac:dyDescent="0.35">
      <c r="A109" s="43" t="s">
        <v>203</v>
      </c>
      <c r="B109" s="397">
        <f t="shared" si="9"/>
        <v>751950</v>
      </c>
      <c r="C109" s="422">
        <v>751950</v>
      </c>
      <c r="D109" s="417">
        <v>0</v>
      </c>
      <c r="E109" s="422">
        <v>0</v>
      </c>
      <c r="F109" s="417">
        <v>0</v>
      </c>
      <c r="G109" s="422">
        <v>0</v>
      </c>
      <c r="H109" s="418">
        <v>0</v>
      </c>
      <c r="I109" s="423">
        <v>0</v>
      </c>
      <c r="J109" s="420">
        <v>0</v>
      </c>
      <c r="K109" s="423">
        <v>0</v>
      </c>
      <c r="L109" s="420">
        <v>0</v>
      </c>
      <c r="M109" s="423">
        <v>0</v>
      </c>
      <c r="N109" s="424">
        <v>0</v>
      </c>
      <c r="O109" s="54"/>
    </row>
    <row r="110" spans="1:15" ht="14" thickTop="1" x14ac:dyDescent="0.3">
      <c r="A110" s="42" t="s">
        <v>1</v>
      </c>
      <c r="B110" s="97">
        <f>SUM(B106:B109)</f>
        <v>8761338300.7000008</v>
      </c>
      <c r="C110" s="97">
        <f>SUM(C106:C109)</f>
        <v>1988138994.9900002</v>
      </c>
      <c r="D110" s="97">
        <f t="shared" ref="D110:N110" si="10">SUM(D106:D109)</f>
        <v>1296677023.1200004</v>
      </c>
      <c r="E110" s="97">
        <f t="shared" si="10"/>
        <v>1887521413.4800003</v>
      </c>
      <c r="F110" s="97">
        <f t="shared" si="10"/>
        <v>2124976029.6099997</v>
      </c>
      <c r="G110" s="97">
        <f t="shared" si="10"/>
        <v>1246304701.2800004</v>
      </c>
      <c r="H110" s="97">
        <f t="shared" si="10"/>
        <v>53702541.449999996</v>
      </c>
      <c r="I110" s="97">
        <f t="shared" si="10"/>
        <v>25255569.219999999</v>
      </c>
      <c r="J110" s="97">
        <f t="shared" si="10"/>
        <v>3954285.97</v>
      </c>
      <c r="K110" s="97">
        <f t="shared" si="10"/>
        <v>4706023</v>
      </c>
      <c r="L110" s="97">
        <f t="shared" si="10"/>
        <v>5924616</v>
      </c>
      <c r="M110" s="97">
        <f t="shared" si="10"/>
        <v>11267191.859999999</v>
      </c>
      <c r="N110" s="97">
        <f t="shared" si="10"/>
        <v>112909910.72</v>
      </c>
      <c r="O110" s="54"/>
    </row>
    <row r="111" spans="1:15" x14ac:dyDescent="0.3">
      <c r="A111" s="26"/>
      <c r="B111" s="99"/>
      <c r="C111" s="99"/>
      <c r="D111" s="99"/>
      <c r="E111" s="99"/>
      <c r="F111" s="99"/>
      <c r="G111" s="99"/>
      <c r="H111" s="99"/>
      <c r="I111" s="99"/>
      <c r="J111" s="99"/>
      <c r="K111" s="99"/>
      <c r="L111" s="99"/>
      <c r="M111" s="99"/>
      <c r="N111" s="99"/>
    </row>
    <row r="113" spans="1:15" x14ac:dyDescent="0.3">
      <c r="A113" s="187" t="s">
        <v>229</v>
      </c>
      <c r="B113" s="187"/>
      <c r="C113" s="187"/>
      <c r="D113" s="187"/>
      <c r="E113" s="187"/>
      <c r="F113" s="187"/>
      <c r="G113" s="187"/>
      <c r="H113" s="187"/>
      <c r="I113" s="187"/>
      <c r="J113" s="187"/>
      <c r="K113" s="187"/>
      <c r="L113" s="187"/>
      <c r="M113" s="187"/>
      <c r="N113" s="187"/>
      <c r="O113" s="5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c r="O114" s="54"/>
    </row>
    <row r="115" spans="1:15" x14ac:dyDescent="0.3">
      <c r="A115" s="48"/>
      <c r="B115" s="11"/>
      <c r="C115" s="13"/>
      <c r="D115" s="13"/>
      <c r="E115" s="17"/>
      <c r="F115" s="13"/>
      <c r="G115" s="13"/>
      <c r="H115" s="13"/>
      <c r="I115" s="13"/>
      <c r="J115" s="13"/>
      <c r="K115" s="13"/>
      <c r="L115" s="13"/>
      <c r="M115" s="13"/>
      <c r="N115" s="13"/>
      <c r="O115" s="54"/>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c r="O116" s="54"/>
    </row>
    <row r="117" spans="1:15" x14ac:dyDescent="0.3">
      <c r="A117" s="42" t="s">
        <v>57</v>
      </c>
      <c r="B117" s="394">
        <f>SUM(C117:N117)</f>
        <v>8761338300.7000008</v>
      </c>
      <c r="C117" s="394">
        <f>+C110</f>
        <v>1988138994.9900002</v>
      </c>
      <c r="D117" s="394">
        <f t="shared" ref="D117:N117" si="11">+D110</f>
        <v>1296677023.1200004</v>
      </c>
      <c r="E117" s="394">
        <f t="shared" si="11"/>
        <v>1887521413.4800003</v>
      </c>
      <c r="F117" s="394">
        <f t="shared" si="11"/>
        <v>2124976029.6099997</v>
      </c>
      <c r="G117" s="394">
        <f t="shared" si="11"/>
        <v>1246304701.2800004</v>
      </c>
      <c r="H117" s="394">
        <f t="shared" si="11"/>
        <v>53702541.449999996</v>
      </c>
      <c r="I117" s="394">
        <f t="shared" si="11"/>
        <v>25255569.219999999</v>
      </c>
      <c r="J117" s="394">
        <f t="shared" si="11"/>
        <v>3954285.97</v>
      </c>
      <c r="K117" s="394">
        <f t="shared" si="11"/>
        <v>4706023</v>
      </c>
      <c r="L117" s="394">
        <f t="shared" si="11"/>
        <v>5924616</v>
      </c>
      <c r="M117" s="394">
        <f t="shared" si="11"/>
        <v>11267191.859999999</v>
      </c>
      <c r="N117" s="394">
        <f t="shared" si="11"/>
        <v>112909910.72</v>
      </c>
      <c r="O117" s="399"/>
    </row>
    <row r="118" spans="1:15" x14ac:dyDescent="0.3">
      <c r="A118" s="42" t="s">
        <v>67</v>
      </c>
      <c r="B118" s="100"/>
      <c r="C118" s="417"/>
      <c r="D118" s="417"/>
      <c r="E118" s="417"/>
      <c r="F118" s="417"/>
      <c r="G118" s="417"/>
      <c r="H118" s="417"/>
      <c r="I118" s="425"/>
      <c r="J118" s="425"/>
      <c r="K118" s="425"/>
      <c r="L118" s="425"/>
      <c r="M118" s="425"/>
      <c r="N118" s="425"/>
      <c r="O118" s="399"/>
    </row>
    <row r="119" spans="1:15" x14ac:dyDescent="0.3">
      <c r="A119" s="42" t="s">
        <v>68</v>
      </c>
      <c r="B119" s="100"/>
      <c r="C119" s="417"/>
      <c r="D119" s="417"/>
      <c r="E119" s="417"/>
      <c r="F119" s="417"/>
      <c r="G119" s="417"/>
      <c r="H119" s="417"/>
      <c r="I119" s="425"/>
      <c r="J119" s="425"/>
      <c r="K119" s="425"/>
      <c r="L119" s="425"/>
      <c r="M119" s="425"/>
      <c r="N119" s="425"/>
      <c r="O119" s="399"/>
    </row>
    <row r="120" spans="1:15" ht="14" thickBot="1" x14ac:dyDescent="0.35">
      <c r="A120" s="43" t="s">
        <v>69</v>
      </c>
      <c r="B120" s="93"/>
      <c r="C120" s="426"/>
      <c r="D120" s="426"/>
      <c r="E120" s="426"/>
      <c r="F120" s="426"/>
      <c r="G120" s="426"/>
      <c r="H120" s="426"/>
      <c r="I120" s="427"/>
      <c r="J120" s="427"/>
      <c r="K120" s="427"/>
      <c r="L120" s="427"/>
      <c r="M120" s="427"/>
      <c r="N120" s="427"/>
      <c r="O120" s="399"/>
    </row>
    <row r="121" spans="1:15" ht="14" thickTop="1" x14ac:dyDescent="0.3">
      <c r="A121" s="42" t="s">
        <v>1</v>
      </c>
      <c r="B121" s="97">
        <f>SUM(B117:B120)</f>
        <v>8761338300.7000008</v>
      </c>
      <c r="C121" s="97">
        <f>SUM(C117:C120)</f>
        <v>1988138994.9900002</v>
      </c>
      <c r="D121" s="97">
        <f t="shared" ref="D121:N121" si="12">SUM(D117:D120)</f>
        <v>1296677023.1200004</v>
      </c>
      <c r="E121" s="97">
        <f t="shared" si="12"/>
        <v>1887521413.4800003</v>
      </c>
      <c r="F121" s="97">
        <f t="shared" si="12"/>
        <v>2124976029.6099997</v>
      </c>
      <c r="G121" s="97">
        <f t="shared" si="12"/>
        <v>1246304701.2800004</v>
      </c>
      <c r="H121" s="97">
        <f t="shared" si="12"/>
        <v>53702541.449999996</v>
      </c>
      <c r="I121" s="97">
        <f t="shared" si="12"/>
        <v>25255569.219999999</v>
      </c>
      <c r="J121" s="97">
        <f t="shared" si="12"/>
        <v>3954285.97</v>
      </c>
      <c r="K121" s="97">
        <f t="shared" si="12"/>
        <v>4706023</v>
      </c>
      <c r="L121" s="97">
        <f t="shared" si="12"/>
        <v>5924616</v>
      </c>
      <c r="M121" s="97">
        <f t="shared" si="12"/>
        <v>11267191.859999999</v>
      </c>
      <c r="N121" s="97">
        <f t="shared" si="12"/>
        <v>112909910.72</v>
      </c>
      <c r="O121" s="399"/>
    </row>
    <row r="122" spans="1:15" x14ac:dyDescent="0.3">
      <c r="A122" s="26"/>
      <c r="B122" s="99"/>
      <c r="C122" s="99"/>
      <c r="D122" s="99"/>
      <c r="E122" s="99"/>
      <c r="F122" s="99"/>
      <c r="G122" s="99"/>
      <c r="H122" s="99"/>
      <c r="I122" s="99"/>
      <c r="J122" s="99"/>
      <c r="K122" s="99"/>
      <c r="L122" s="99"/>
      <c r="M122" s="99"/>
      <c r="N122" s="99"/>
      <c r="O122" s="55"/>
    </row>
    <row r="123" spans="1:15" x14ac:dyDescent="0.3">
      <c r="O123" s="54"/>
    </row>
    <row r="124" spans="1:15" x14ac:dyDescent="0.3">
      <c r="A124" s="187" t="s">
        <v>230</v>
      </c>
      <c r="B124" s="187"/>
      <c r="C124" s="187"/>
      <c r="D124" s="187"/>
      <c r="E124" s="187"/>
      <c r="F124" s="187"/>
      <c r="G124" s="187"/>
      <c r="H124" s="187"/>
      <c r="I124" s="187"/>
      <c r="J124" s="54"/>
    </row>
    <row r="125" spans="1:15" ht="40.5" x14ac:dyDescent="0.3">
      <c r="A125" s="109" t="s">
        <v>50</v>
      </c>
      <c r="B125" s="109" t="s">
        <v>51</v>
      </c>
      <c r="C125" s="149" t="s">
        <v>204</v>
      </c>
      <c r="D125" s="149" t="s">
        <v>59</v>
      </c>
      <c r="E125" s="149" t="s">
        <v>61</v>
      </c>
      <c r="F125" s="149" t="s">
        <v>53</v>
      </c>
      <c r="G125" s="150" t="s">
        <v>60</v>
      </c>
      <c r="H125" s="151" t="s">
        <v>54</v>
      </c>
      <c r="I125" s="150" t="s">
        <v>55</v>
      </c>
      <c r="J125" s="54"/>
    </row>
    <row r="126" spans="1:15" x14ac:dyDescent="0.3">
      <c r="A126" s="42" t="s">
        <v>206</v>
      </c>
      <c r="B126" s="70" t="s">
        <v>3</v>
      </c>
      <c r="C126" s="419">
        <v>468000000</v>
      </c>
      <c r="D126" s="277">
        <v>43640</v>
      </c>
      <c r="E126" s="277">
        <v>44006</v>
      </c>
      <c r="F126" s="101" t="s">
        <v>56</v>
      </c>
      <c r="G126" s="101" t="s">
        <v>108</v>
      </c>
      <c r="H126" s="309">
        <v>41663</v>
      </c>
      <c r="I126" s="143">
        <v>12</v>
      </c>
      <c r="J126" s="54"/>
    </row>
    <row r="127" spans="1:15" x14ac:dyDescent="0.3">
      <c r="A127" s="42" t="s">
        <v>207</v>
      </c>
      <c r="B127" s="70" t="s">
        <v>3</v>
      </c>
      <c r="C127" s="419">
        <v>2000000000</v>
      </c>
      <c r="D127" s="277">
        <v>44315</v>
      </c>
      <c r="E127" s="277">
        <v>44680</v>
      </c>
      <c r="F127" s="101" t="s">
        <v>56</v>
      </c>
      <c r="G127" s="101" t="s">
        <v>108</v>
      </c>
      <c r="H127" s="309">
        <v>41521</v>
      </c>
      <c r="I127" s="143">
        <v>13</v>
      </c>
      <c r="J127" s="54"/>
    </row>
    <row r="128" spans="1:15" x14ac:dyDescent="0.3">
      <c r="A128" s="42" t="s">
        <v>250</v>
      </c>
      <c r="B128" s="70" t="s">
        <v>3</v>
      </c>
      <c r="C128" s="425">
        <v>200000000</v>
      </c>
      <c r="D128" s="277">
        <v>44522</v>
      </c>
      <c r="E128" s="277">
        <v>44887</v>
      </c>
      <c r="F128" s="101" t="s">
        <v>58</v>
      </c>
      <c r="G128" s="101" t="s">
        <v>109</v>
      </c>
      <c r="H128" s="309">
        <v>42696</v>
      </c>
      <c r="I128" s="143">
        <v>14</v>
      </c>
      <c r="J128" s="54"/>
    </row>
    <row r="129" spans="1:17" x14ac:dyDescent="0.3">
      <c r="A129" s="42" t="s">
        <v>251</v>
      </c>
      <c r="B129" s="70" t="s">
        <v>3</v>
      </c>
      <c r="C129" s="425">
        <v>2000000000</v>
      </c>
      <c r="D129" s="277">
        <v>44708</v>
      </c>
      <c r="E129" s="277">
        <v>45073</v>
      </c>
      <c r="F129" s="101" t="s">
        <v>56</v>
      </c>
      <c r="G129" s="101" t="s">
        <v>108</v>
      </c>
      <c r="H129" s="309">
        <v>42913</v>
      </c>
      <c r="I129" s="143">
        <v>15</v>
      </c>
      <c r="J129" s="54"/>
    </row>
    <row r="130" spans="1:17" x14ac:dyDescent="0.3">
      <c r="A130" s="42" t="s">
        <v>268</v>
      </c>
      <c r="B130" s="70" t="s">
        <v>3</v>
      </c>
      <c r="C130" s="425">
        <v>850000000</v>
      </c>
      <c r="D130" s="277">
        <v>44124</v>
      </c>
      <c r="E130" s="277">
        <v>44489</v>
      </c>
      <c r="F130" s="101" t="s">
        <v>56</v>
      </c>
      <c r="G130" s="101" t="s">
        <v>108</v>
      </c>
      <c r="H130" s="309">
        <v>43147</v>
      </c>
      <c r="I130" s="143">
        <v>16</v>
      </c>
      <c r="J130" s="54"/>
    </row>
    <row r="131" spans="1:17" x14ac:dyDescent="0.3">
      <c r="A131" s="42" t="s">
        <v>270</v>
      </c>
      <c r="B131" s="70" t="s">
        <v>3</v>
      </c>
      <c r="C131" s="425">
        <v>2000000000</v>
      </c>
      <c r="D131" s="277">
        <v>45089</v>
      </c>
      <c r="E131" s="277">
        <v>45455</v>
      </c>
      <c r="F131" s="101" t="s">
        <v>56</v>
      </c>
      <c r="G131" s="101" t="s">
        <v>108</v>
      </c>
      <c r="H131" s="309">
        <v>43353</v>
      </c>
      <c r="I131" s="143">
        <v>17</v>
      </c>
      <c r="J131" s="54"/>
    </row>
    <row r="132" spans="1:17" ht="14" thickBot="1" x14ac:dyDescent="0.35">
      <c r="A132" s="43" t="s">
        <v>276</v>
      </c>
      <c r="B132" s="169" t="s">
        <v>3</v>
      </c>
      <c r="C132" s="427">
        <v>240000000</v>
      </c>
      <c r="D132" s="275">
        <v>44491</v>
      </c>
      <c r="E132" s="275">
        <v>44856</v>
      </c>
      <c r="F132" s="172" t="s">
        <v>58</v>
      </c>
      <c r="G132" s="171" t="s">
        <v>109</v>
      </c>
      <c r="H132" s="278">
        <v>43395</v>
      </c>
      <c r="I132" s="172">
        <v>18</v>
      </c>
      <c r="J132" s="54"/>
    </row>
    <row r="133" spans="1:17" ht="14" thickTop="1" x14ac:dyDescent="0.3">
      <c r="A133" s="26"/>
      <c r="B133" s="67"/>
      <c r="C133" s="367">
        <f>SUM(C126:C132)</f>
        <v>7758000000</v>
      </c>
      <c r="D133" s="429"/>
      <c r="E133" s="429"/>
      <c r="F133" s="105"/>
      <c r="G133" s="105"/>
      <c r="H133" s="429"/>
      <c r="I133" s="105"/>
      <c r="J133" s="54"/>
    </row>
    <row r="134" spans="1:17" s="67" customFormat="1" x14ac:dyDescent="0.3">
      <c r="A134" s="26"/>
      <c r="C134" s="420"/>
      <c r="D134" s="102"/>
      <c r="E134" s="102"/>
      <c r="F134" s="105"/>
      <c r="I134" s="102"/>
    </row>
    <row r="135" spans="1:17" s="67" customFormat="1" x14ac:dyDescent="0.3">
      <c r="A135" s="26"/>
      <c r="C135" s="420"/>
      <c r="D135" s="102"/>
      <c r="E135" s="102"/>
      <c r="F135" s="105"/>
      <c r="H135" s="55"/>
      <c r="I135" s="441"/>
      <c r="J135" s="55"/>
      <c r="K135" s="55"/>
      <c r="L135" s="55"/>
      <c r="M135" s="55"/>
      <c r="N135" s="55"/>
    </row>
    <row r="136" spans="1:17" s="67" customFormat="1" x14ac:dyDescent="0.3">
      <c r="A136" s="187" t="s">
        <v>231</v>
      </c>
      <c r="B136" s="187"/>
      <c r="C136" s="187"/>
      <c r="D136" s="187"/>
      <c r="E136" s="187"/>
      <c r="F136" s="187"/>
      <c r="G136" s="55"/>
      <c r="H136" s="55"/>
      <c r="I136" s="441"/>
      <c r="J136" s="55"/>
      <c r="K136" s="55"/>
      <c r="L136" s="55"/>
      <c r="M136" s="55"/>
      <c r="N136" s="55"/>
    </row>
    <row r="137" spans="1:17" s="67" customFormat="1" x14ac:dyDescent="0.3">
      <c r="A137" s="136" t="s">
        <v>119</v>
      </c>
      <c r="B137" s="19" t="s">
        <v>50</v>
      </c>
      <c r="C137" s="19" t="s">
        <v>120</v>
      </c>
      <c r="D137" s="19" t="s">
        <v>51</v>
      </c>
      <c r="E137" s="63" t="s">
        <v>121</v>
      </c>
      <c r="F137" s="63" t="s">
        <v>166</v>
      </c>
      <c r="G137" s="55"/>
    </row>
    <row r="138" spans="1:17" s="67" customFormat="1" x14ac:dyDescent="0.3">
      <c r="A138" s="8" t="s">
        <v>123</v>
      </c>
      <c r="B138" s="430" t="s">
        <v>124</v>
      </c>
      <c r="C138" s="430" t="s">
        <v>125</v>
      </c>
      <c r="D138" s="430" t="s">
        <v>3</v>
      </c>
      <c r="E138" s="419">
        <v>162574000</v>
      </c>
      <c r="F138" s="196" t="s">
        <v>277</v>
      </c>
      <c r="G138" s="438"/>
      <c r="H138" s="55"/>
      <c r="I138" s="441"/>
      <c r="J138" s="55"/>
      <c r="K138" s="55"/>
      <c r="L138" s="55"/>
      <c r="M138" s="445"/>
      <c r="N138" s="446"/>
    </row>
    <row r="139" spans="1:17" s="67" customFormat="1" x14ac:dyDescent="0.3">
      <c r="A139" s="7" t="s">
        <v>252</v>
      </c>
      <c r="B139" s="372" t="s">
        <v>253</v>
      </c>
      <c r="C139" s="372" t="s">
        <v>128</v>
      </c>
      <c r="D139" s="372" t="s">
        <v>3</v>
      </c>
      <c r="E139" s="416">
        <v>10000000</v>
      </c>
      <c r="F139" s="358" t="s">
        <v>129</v>
      </c>
      <c r="G139" s="438"/>
      <c r="H139" s="438"/>
      <c r="I139" s="441"/>
      <c r="J139" s="55"/>
      <c r="K139" s="55"/>
      <c r="L139" s="445"/>
      <c r="M139" s="445"/>
      <c r="N139" s="446"/>
      <c r="O139" s="440"/>
      <c r="Q139" s="440"/>
    </row>
    <row r="140" spans="1:17" s="67" customFormat="1" x14ac:dyDescent="0.3">
      <c r="A140" s="7" t="s">
        <v>255</v>
      </c>
      <c r="B140" s="372" t="s">
        <v>256</v>
      </c>
      <c r="C140" s="372" t="s">
        <v>128</v>
      </c>
      <c r="D140" s="372" t="s">
        <v>3</v>
      </c>
      <c r="E140" s="416">
        <v>51000000</v>
      </c>
      <c r="F140" s="358" t="s">
        <v>129</v>
      </c>
      <c r="G140" s="438"/>
      <c r="H140" s="438"/>
      <c r="I140" s="441"/>
      <c r="J140" s="55"/>
      <c r="K140" s="55"/>
      <c r="L140" s="445"/>
      <c r="M140" s="445"/>
      <c r="N140" s="446"/>
      <c r="O140" s="440"/>
      <c r="Q140" s="440"/>
    </row>
    <row r="141" spans="1:17" s="67" customFormat="1" x14ac:dyDescent="0.3">
      <c r="A141" s="7" t="s">
        <v>238</v>
      </c>
      <c r="B141" s="372" t="s">
        <v>241</v>
      </c>
      <c r="C141" s="372" t="s">
        <v>128</v>
      </c>
      <c r="D141" s="372" t="s">
        <v>3</v>
      </c>
      <c r="E141" s="416">
        <v>45000000</v>
      </c>
      <c r="F141" s="358" t="s">
        <v>129</v>
      </c>
      <c r="G141" s="438"/>
      <c r="H141" s="438"/>
      <c r="I141" s="441"/>
      <c r="J141" s="55"/>
      <c r="K141" s="55"/>
      <c r="L141" s="445"/>
      <c r="M141" s="445"/>
      <c r="N141" s="446"/>
      <c r="O141" s="440"/>
      <c r="Q141" s="440"/>
    </row>
    <row r="142" spans="1:17" s="67" customFormat="1" x14ac:dyDescent="0.3">
      <c r="A142" s="7" t="s">
        <v>271</v>
      </c>
      <c r="B142" s="372" t="s">
        <v>269</v>
      </c>
      <c r="C142" s="372" t="s">
        <v>128</v>
      </c>
      <c r="D142" s="372" t="s">
        <v>3</v>
      </c>
      <c r="E142" s="416">
        <v>100000000</v>
      </c>
      <c r="F142" s="358" t="s">
        <v>129</v>
      </c>
      <c r="G142" s="438"/>
      <c r="H142" s="438"/>
      <c r="I142" s="441"/>
      <c r="J142" s="55"/>
      <c r="K142" s="55"/>
      <c r="L142" s="445"/>
      <c r="M142" s="445"/>
      <c r="N142" s="446"/>
      <c r="O142" s="440"/>
      <c r="Q142" s="440"/>
    </row>
    <row r="143" spans="1:17" s="67" customFormat="1" x14ac:dyDescent="0.3">
      <c r="A143" s="7" t="s">
        <v>257</v>
      </c>
      <c r="B143" s="372" t="s">
        <v>258</v>
      </c>
      <c r="C143" s="372" t="s">
        <v>128</v>
      </c>
      <c r="D143" s="372" t="s">
        <v>3</v>
      </c>
      <c r="E143" s="416">
        <v>10000000</v>
      </c>
      <c r="F143" s="358" t="s">
        <v>129</v>
      </c>
      <c r="G143" s="438"/>
      <c r="H143" s="438"/>
      <c r="I143" s="441"/>
      <c r="J143" s="55"/>
      <c r="K143" s="55"/>
      <c r="L143" s="445"/>
      <c r="M143" s="445"/>
      <c r="N143" s="446"/>
      <c r="O143" s="440"/>
      <c r="Q143" s="440"/>
    </row>
    <row r="144" spans="1:17" s="67" customFormat="1" x14ac:dyDescent="0.3">
      <c r="A144" s="442" t="s">
        <v>264</v>
      </c>
      <c r="B144" s="372" t="s">
        <v>263</v>
      </c>
      <c r="C144" s="372" t="s">
        <v>128</v>
      </c>
      <c r="D144" s="372" t="s">
        <v>3</v>
      </c>
      <c r="E144" s="416">
        <v>25000000</v>
      </c>
      <c r="F144" s="358" t="s">
        <v>129</v>
      </c>
      <c r="G144" s="438"/>
      <c r="H144" s="438"/>
      <c r="I144" s="441"/>
      <c r="J144" s="55"/>
      <c r="K144" s="55"/>
      <c r="L144" s="445"/>
      <c r="M144" s="445"/>
      <c r="N144" s="446"/>
      <c r="O144" s="440"/>
      <c r="Q144" s="440"/>
    </row>
    <row r="145" spans="1:17" s="67" customFormat="1" x14ac:dyDescent="0.3">
      <c r="A145" s="441" t="s">
        <v>274</v>
      </c>
      <c r="B145" s="372" t="s">
        <v>275</v>
      </c>
      <c r="C145" s="372" t="s">
        <v>128</v>
      </c>
      <c r="D145" s="372" t="s">
        <v>3</v>
      </c>
      <c r="E145" s="416">
        <v>25000000</v>
      </c>
      <c r="F145" s="358" t="s">
        <v>129</v>
      </c>
      <c r="G145" s="438"/>
      <c r="H145" s="438"/>
      <c r="I145" s="441"/>
      <c r="J145" s="55"/>
      <c r="K145" s="55"/>
      <c r="L145" s="445"/>
      <c r="M145" s="445"/>
      <c r="N145" s="446"/>
      <c r="O145" s="440"/>
      <c r="Q145" s="440"/>
    </row>
    <row r="146" spans="1:17" s="67" customFormat="1" x14ac:dyDescent="0.3">
      <c r="A146" s="7" t="s">
        <v>259</v>
      </c>
      <c r="B146" s="372" t="s">
        <v>260</v>
      </c>
      <c r="C146" s="372" t="s">
        <v>248</v>
      </c>
      <c r="D146" s="372" t="s">
        <v>3</v>
      </c>
      <c r="E146" s="416">
        <v>10000000</v>
      </c>
      <c r="F146" s="358" t="s">
        <v>261</v>
      </c>
      <c r="G146" s="438"/>
      <c r="H146" s="438"/>
      <c r="I146" s="441"/>
      <c r="J146" s="55"/>
      <c r="K146" s="55"/>
      <c r="L146" s="445"/>
      <c r="M146" s="445"/>
      <c r="N146" s="446"/>
    </row>
    <row r="147" spans="1:17" x14ac:dyDescent="0.3">
      <c r="A147" s="5" t="s">
        <v>1</v>
      </c>
      <c r="B147" s="434"/>
      <c r="C147" s="434"/>
      <c r="D147" s="434"/>
      <c r="E147" s="423">
        <f>SUM(E138:E146)</f>
        <v>438574000</v>
      </c>
      <c r="F147" s="189"/>
      <c r="G147" s="55"/>
      <c r="H147" s="438"/>
      <c r="I147" s="441"/>
      <c r="J147" s="55"/>
      <c r="K147" s="55"/>
      <c r="L147" s="445"/>
      <c r="M147" s="445"/>
      <c r="N147" s="446"/>
      <c r="O147" s="67"/>
      <c r="P147" s="67"/>
    </row>
    <row r="148" spans="1:17" x14ac:dyDescent="0.3">
      <c r="A148" s="26"/>
      <c r="B148" s="67"/>
      <c r="C148" s="420"/>
      <c r="D148" s="102"/>
      <c r="E148" s="102"/>
      <c r="F148" s="105"/>
      <c r="G148" s="67"/>
      <c r="H148" s="67"/>
      <c r="I148" s="102"/>
      <c r="J148" s="67"/>
      <c r="K148" s="67"/>
      <c r="L148" s="67"/>
      <c r="M148" s="67"/>
      <c r="N148" s="67"/>
    </row>
    <row r="149" spans="1:17" x14ac:dyDescent="0.3">
      <c r="A149" s="67"/>
      <c r="B149" s="67"/>
      <c r="C149" s="67"/>
      <c r="D149" s="67"/>
      <c r="E149" s="67"/>
      <c r="F149" s="67"/>
      <c r="G149" s="67"/>
      <c r="H149" s="67"/>
      <c r="I149" s="67"/>
      <c r="J149" s="67"/>
      <c r="K149" s="67"/>
    </row>
    <row r="150" spans="1:17" x14ac:dyDescent="0.3">
      <c r="A150" s="187" t="s">
        <v>232</v>
      </c>
      <c r="B150" s="187"/>
      <c r="C150" s="187"/>
      <c r="D150" s="187"/>
      <c r="E150" s="187"/>
    </row>
    <row r="170" spans="1:1" x14ac:dyDescent="0.3">
      <c r="A170"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
    <pageSetUpPr fitToPage="1"/>
  </sheetPr>
  <dimension ref="A1:P155"/>
  <sheetViews>
    <sheetView workbookViewId="0">
      <selection activeCell="A26" sqref="A26:B38"/>
    </sheetView>
  </sheetViews>
  <sheetFormatPr baseColWidth="10" defaultColWidth="11.453125" defaultRowHeight="13.5" x14ac:dyDescent="0.3"/>
  <cols>
    <col min="1" max="1" width="54" style="53" customWidth="1"/>
    <col min="2" max="2" width="24.54296875" style="53" bestFit="1" customWidth="1"/>
    <col min="3" max="3" width="23.81640625" style="53" customWidth="1"/>
    <col min="4" max="4" width="26.26953125" style="53" bestFit="1" customWidth="1"/>
    <col min="5" max="5" width="22.26953125" style="53" bestFit="1" customWidth="1"/>
    <col min="6" max="6" width="24.1796875" style="53" bestFit="1" customWidth="1"/>
    <col min="7" max="7" width="22.26953125" style="53" bestFit="1" customWidth="1"/>
    <col min="8" max="8" width="22.26953125" style="53" customWidth="1"/>
    <col min="9" max="11" width="22.26953125" style="53" bestFit="1" customWidth="1"/>
    <col min="12" max="12" width="23.54296875" style="53" bestFit="1" customWidth="1"/>
    <col min="13" max="13" width="24.81640625" style="53" bestFit="1" customWidth="1"/>
    <col min="14" max="14" width="17.26953125" style="53" bestFit="1" customWidth="1"/>
    <col min="15" max="16384" width="11.453125" style="53"/>
  </cols>
  <sheetData>
    <row r="1" spans="1:8" ht="15" x14ac:dyDescent="0.3">
      <c r="A1" s="124" t="s">
        <v>85</v>
      </c>
      <c r="B1" s="52"/>
      <c r="C1" s="52"/>
      <c r="D1" s="52"/>
      <c r="E1" s="52"/>
    </row>
    <row r="2" spans="1:8" x14ac:dyDescent="0.3">
      <c r="A2" s="52" t="s">
        <v>0</v>
      </c>
      <c r="B2" s="114">
        <v>41274</v>
      </c>
      <c r="E2" s="52"/>
    </row>
    <row r="3" spans="1:8" x14ac:dyDescent="0.3">
      <c r="A3" s="52" t="s">
        <v>2</v>
      </c>
      <c r="B3" s="115" t="s">
        <v>3</v>
      </c>
      <c r="E3" s="52"/>
      <c r="G3" s="54"/>
      <c r="H3" s="54"/>
    </row>
    <row r="4" spans="1:8" x14ac:dyDescent="0.3">
      <c r="A4" s="52"/>
      <c r="B4" s="52"/>
      <c r="C4" s="52"/>
      <c r="D4" s="52"/>
      <c r="E4" s="52"/>
      <c r="G4" s="55"/>
      <c r="H4" s="55"/>
    </row>
    <row r="5" spans="1:8" x14ac:dyDescent="0.3">
      <c r="A5" s="163" t="s">
        <v>72</v>
      </c>
      <c r="B5" s="164"/>
      <c r="C5" s="116"/>
      <c r="D5" s="116"/>
      <c r="E5" s="116"/>
      <c r="F5" s="116"/>
      <c r="G5" s="55"/>
      <c r="H5" s="55"/>
    </row>
    <row r="6" spans="1:8" ht="12.75" customHeight="1" x14ac:dyDescent="0.3">
      <c r="A6" s="106"/>
      <c r="B6" s="106" t="s">
        <v>1</v>
      </c>
      <c r="C6" s="59"/>
      <c r="D6" s="59"/>
      <c r="E6" s="117"/>
      <c r="F6" s="2"/>
      <c r="G6" s="2"/>
      <c r="H6" s="2"/>
    </row>
    <row r="7" spans="1:8" x14ac:dyDescent="0.3">
      <c r="A7" s="56" t="s">
        <v>77</v>
      </c>
      <c r="B7" s="274">
        <v>3462359402</v>
      </c>
      <c r="C7" s="121"/>
      <c r="D7" s="174"/>
      <c r="E7" s="119"/>
      <c r="F7" s="120"/>
      <c r="G7" s="55"/>
      <c r="H7" s="55"/>
    </row>
    <row r="8" spans="1:8" x14ac:dyDescent="0.3">
      <c r="A8" s="56" t="s">
        <v>78</v>
      </c>
      <c r="B8" s="123">
        <f>B7/B9</f>
        <v>1289999.7771982115</v>
      </c>
      <c r="C8" s="121"/>
      <c r="D8" s="175"/>
      <c r="E8" s="119"/>
      <c r="F8" s="120"/>
      <c r="G8" s="55"/>
      <c r="H8" s="55"/>
    </row>
    <row r="9" spans="1:8" x14ac:dyDescent="0.3">
      <c r="A9" s="56" t="s">
        <v>73</v>
      </c>
      <c r="B9" s="123">
        <v>2684</v>
      </c>
      <c r="C9" s="121"/>
      <c r="D9" s="174"/>
      <c r="E9" s="119"/>
      <c r="F9" s="120"/>
      <c r="G9" s="55"/>
      <c r="H9" s="55"/>
    </row>
    <row r="10" spans="1:8" ht="13.5" customHeight="1" x14ac:dyDescent="0.3">
      <c r="A10" s="56" t="s">
        <v>79</v>
      </c>
      <c r="B10" s="56">
        <v>1.3321E-2</v>
      </c>
      <c r="C10" s="121"/>
      <c r="D10" s="118"/>
      <c r="E10" s="119"/>
      <c r="F10" s="120"/>
      <c r="G10" s="55"/>
      <c r="H10" s="55"/>
    </row>
    <row r="11" spans="1:8" x14ac:dyDescent="0.3">
      <c r="A11" s="56" t="s">
        <v>74</v>
      </c>
      <c r="B11" s="123">
        <v>31</v>
      </c>
      <c r="C11" s="121"/>
      <c r="D11" s="118"/>
      <c r="E11" s="119"/>
      <c r="F11" s="120"/>
      <c r="G11" s="55"/>
      <c r="H11" s="55"/>
    </row>
    <row r="12" spans="1:8" x14ac:dyDescent="0.3">
      <c r="A12" s="56" t="s">
        <v>81</v>
      </c>
      <c r="B12" s="123">
        <v>236</v>
      </c>
      <c r="C12" s="121"/>
      <c r="D12" s="118"/>
      <c r="E12" s="119"/>
      <c r="F12" s="120"/>
      <c r="G12" s="55"/>
      <c r="H12" s="55"/>
    </row>
    <row r="13" spans="1:8" x14ac:dyDescent="0.3">
      <c r="A13" s="56" t="s">
        <v>75</v>
      </c>
      <c r="B13" s="123">
        <v>3001</v>
      </c>
      <c r="C13" s="121"/>
      <c r="D13" s="118"/>
      <c r="E13" s="119"/>
      <c r="F13" s="120"/>
      <c r="G13" s="55"/>
      <c r="H13" s="55"/>
    </row>
    <row r="14" spans="1:8" x14ac:dyDescent="0.3">
      <c r="A14" s="56" t="s">
        <v>76</v>
      </c>
      <c r="B14" s="123">
        <v>4121</v>
      </c>
      <c r="C14" s="121"/>
      <c r="D14" s="118"/>
      <c r="E14" s="119"/>
      <c r="F14" s="120"/>
      <c r="G14" s="55"/>
      <c r="H14" s="55"/>
    </row>
    <row r="15" spans="1:8" x14ac:dyDescent="0.3">
      <c r="A15" s="56" t="s">
        <v>82</v>
      </c>
      <c r="B15" s="56">
        <v>0.501</v>
      </c>
      <c r="C15" s="121"/>
      <c r="D15" s="118"/>
      <c r="E15" s="119"/>
      <c r="F15" s="120"/>
      <c r="G15" s="55"/>
      <c r="H15" s="55"/>
    </row>
    <row r="16" spans="1:8" x14ac:dyDescent="0.3">
      <c r="A16" s="56" t="s">
        <v>83</v>
      </c>
      <c r="B16" s="141">
        <v>1</v>
      </c>
      <c r="C16" s="121"/>
      <c r="D16" s="118"/>
      <c r="E16" s="119"/>
      <c r="F16" s="120"/>
      <c r="G16" s="55"/>
      <c r="H16" s="55"/>
    </row>
    <row r="17" spans="1:8" x14ac:dyDescent="0.3">
      <c r="A17" s="56" t="s">
        <v>86</v>
      </c>
      <c r="B17" s="141">
        <v>1</v>
      </c>
      <c r="C17" s="121"/>
      <c r="D17" s="118"/>
      <c r="E17" s="119"/>
      <c r="F17" s="120"/>
      <c r="G17" s="55"/>
      <c r="H17" s="55"/>
    </row>
    <row r="18" spans="1:8" x14ac:dyDescent="0.3">
      <c r="A18" s="56" t="s">
        <v>84</v>
      </c>
      <c r="B18" s="56">
        <v>0</v>
      </c>
      <c r="C18" s="121"/>
      <c r="D18" s="118"/>
      <c r="E18" s="119"/>
      <c r="F18" s="120"/>
      <c r="G18" s="55"/>
      <c r="H18" s="55"/>
    </row>
    <row r="19" spans="1:8" x14ac:dyDescent="0.3">
      <c r="A19" s="56" t="s">
        <v>49</v>
      </c>
      <c r="B19" s="123">
        <f>E131</f>
        <v>177000000</v>
      </c>
      <c r="C19" s="121"/>
      <c r="D19" s="121"/>
      <c r="E19" s="55"/>
      <c r="F19" s="122"/>
      <c r="G19" s="54"/>
      <c r="H19" s="54"/>
    </row>
    <row r="20" spans="1:8" x14ac:dyDescent="0.3">
      <c r="A20" s="57" t="s">
        <v>80</v>
      </c>
      <c r="B20" s="58">
        <f>B19+B7</f>
        <v>3639359402</v>
      </c>
      <c r="C20" s="59"/>
      <c r="D20" s="59"/>
      <c r="E20" s="61"/>
      <c r="F20" s="62"/>
      <c r="G20" s="54"/>
      <c r="H20" s="54"/>
    </row>
    <row r="21" spans="1:8" s="54" customFormat="1" x14ac:dyDescent="0.3">
      <c r="A21" s="59"/>
      <c r="B21" s="60"/>
      <c r="C21" s="59"/>
      <c r="D21" s="59"/>
      <c r="E21" s="61"/>
      <c r="F21" s="62"/>
    </row>
    <row r="23" spans="1:8" x14ac:dyDescent="0.3">
      <c r="A23" s="163" t="s">
        <v>71</v>
      </c>
      <c r="B23" s="164"/>
      <c r="C23" s="163"/>
      <c r="D23" s="164"/>
      <c r="E23" s="116"/>
      <c r="F23" s="116"/>
    </row>
    <row r="24" spans="1:8" x14ac:dyDescent="0.3">
      <c r="A24" s="106"/>
      <c r="B24" s="106"/>
      <c r="C24" s="106"/>
      <c r="D24" s="106"/>
      <c r="E24" s="117"/>
      <c r="F24" s="2"/>
    </row>
    <row r="25" spans="1:8" x14ac:dyDescent="0.3">
      <c r="A25" s="9" t="s">
        <v>16</v>
      </c>
      <c r="B25" s="10" t="s">
        <v>4</v>
      </c>
      <c r="C25" s="10" t="s">
        <v>5</v>
      </c>
      <c r="D25" s="63" t="s">
        <v>17</v>
      </c>
    </row>
    <row r="26" spans="1:8" ht="14.5" x14ac:dyDescent="0.35">
      <c r="A26" s="6" t="s">
        <v>6</v>
      </c>
      <c r="B26" s="126">
        <v>919709329.64999962</v>
      </c>
      <c r="C26" s="129">
        <v>1377</v>
      </c>
      <c r="D26" s="64">
        <f>B26/$B$38</f>
        <v>0.27310395543157284</v>
      </c>
      <c r="E26" s="173"/>
    </row>
    <row r="27" spans="1:8" ht="14.5" x14ac:dyDescent="0.35">
      <c r="A27" s="6" t="s">
        <v>7</v>
      </c>
      <c r="B27" s="126">
        <v>596592202.89999998</v>
      </c>
      <c r="C27" s="129">
        <v>514</v>
      </c>
      <c r="D27" s="64">
        <f t="shared" ref="D27:D36" si="0">B27/$B$38</f>
        <v>0.17715563508921889</v>
      </c>
      <c r="E27" s="173"/>
    </row>
    <row r="28" spans="1:8" ht="14.5" x14ac:dyDescent="0.35">
      <c r="A28" s="6" t="s">
        <v>8</v>
      </c>
      <c r="B28" s="126">
        <v>748901036.18999994</v>
      </c>
      <c r="C28" s="129">
        <v>564</v>
      </c>
      <c r="D28" s="64">
        <f t="shared" si="0"/>
        <v>0.22238312542521085</v>
      </c>
      <c r="E28" s="173"/>
    </row>
    <row r="29" spans="1:8" ht="14.5" x14ac:dyDescent="0.35">
      <c r="A29" s="6" t="s">
        <v>9</v>
      </c>
      <c r="B29" s="126">
        <v>758351814.61000001</v>
      </c>
      <c r="C29" s="129">
        <v>487</v>
      </c>
      <c r="D29" s="64">
        <f t="shared" si="0"/>
        <v>0.22518949574809494</v>
      </c>
      <c r="E29" s="173"/>
    </row>
    <row r="30" spans="1:8" ht="14.5" x14ac:dyDescent="0.35">
      <c r="A30" s="6" t="s">
        <v>140</v>
      </c>
      <c r="B30" s="126">
        <v>308252100.84000003</v>
      </c>
      <c r="C30" s="129">
        <v>176</v>
      </c>
      <c r="D30" s="64">
        <f t="shared" si="0"/>
        <v>9.1534211185541711E-2</v>
      </c>
      <c r="E30" s="173"/>
    </row>
    <row r="31" spans="1:8" ht="14.5" x14ac:dyDescent="0.35">
      <c r="A31" s="6" t="s">
        <v>141</v>
      </c>
      <c r="B31" s="126">
        <v>13020062.07</v>
      </c>
      <c r="C31" s="129">
        <v>9</v>
      </c>
      <c r="D31" s="64">
        <f t="shared" si="0"/>
        <v>3.8662546270295884E-3</v>
      </c>
      <c r="E31" s="173"/>
    </row>
    <row r="32" spans="1:8" ht="14.5" x14ac:dyDescent="0.35">
      <c r="A32" s="6" t="s">
        <v>10</v>
      </c>
      <c r="B32" s="126">
        <v>9591788.0199999996</v>
      </c>
      <c r="C32" s="129">
        <v>5</v>
      </c>
      <c r="D32" s="64">
        <f t="shared" si="0"/>
        <v>2.8482425517201834E-3</v>
      </c>
      <c r="E32" s="173"/>
    </row>
    <row r="33" spans="1:14" ht="14.5" x14ac:dyDescent="0.35">
      <c r="A33" s="6" t="s">
        <v>11</v>
      </c>
      <c r="B33" s="134">
        <v>2344366.23</v>
      </c>
      <c r="C33" s="135">
        <v>1</v>
      </c>
      <c r="D33" s="64">
        <f t="shared" si="0"/>
        <v>6.9615004409801645E-4</v>
      </c>
      <c r="E33" s="173"/>
    </row>
    <row r="34" spans="1:14" ht="14.5" x14ac:dyDescent="0.35">
      <c r="A34" s="6" t="s">
        <v>12</v>
      </c>
      <c r="B34" s="130">
        <v>0</v>
      </c>
      <c r="C34" s="131"/>
      <c r="D34" s="64">
        <f t="shared" si="0"/>
        <v>0</v>
      </c>
      <c r="E34" s="173"/>
    </row>
    <row r="35" spans="1:14" ht="14.5" x14ac:dyDescent="0.35">
      <c r="A35" s="6" t="s">
        <v>13</v>
      </c>
      <c r="B35" s="130">
        <v>0</v>
      </c>
      <c r="C35" s="131"/>
      <c r="D35" s="64">
        <f t="shared" si="0"/>
        <v>0</v>
      </c>
      <c r="E35" s="173"/>
    </row>
    <row r="36" spans="1:14" ht="14.5" x14ac:dyDescent="0.35">
      <c r="A36" s="6" t="s">
        <v>14</v>
      </c>
      <c r="B36" s="130">
        <v>0</v>
      </c>
      <c r="C36" s="131"/>
      <c r="D36" s="64">
        <f t="shared" si="0"/>
        <v>0</v>
      </c>
      <c r="E36" s="173"/>
    </row>
    <row r="37" spans="1:14" ht="15" thickBot="1" x14ac:dyDescent="0.4">
      <c r="A37" s="4" t="s">
        <v>15</v>
      </c>
      <c r="B37" s="132">
        <v>10853591.23</v>
      </c>
      <c r="C37" s="132">
        <v>5</v>
      </c>
      <c r="D37" s="65">
        <f>B37/$B$38</f>
        <v>3.22292989751279E-3</v>
      </c>
      <c r="E37" s="173"/>
    </row>
    <row r="38" spans="1:14" ht="15" thickTop="1" x14ac:dyDescent="0.35">
      <c r="A38" s="1" t="s">
        <v>1</v>
      </c>
      <c r="B38" s="18">
        <f>SUM(B26:B37)</f>
        <v>3367616291.7400002</v>
      </c>
      <c r="C38" s="133">
        <f>SUM(C26:C37)</f>
        <v>3138</v>
      </c>
      <c r="D38" s="66">
        <f>B38/$B$38</f>
        <v>1</v>
      </c>
      <c r="E38" s="173"/>
    </row>
    <row r="41" spans="1:14" x14ac:dyDescent="0.3">
      <c r="A41" s="164" t="s">
        <v>87</v>
      </c>
      <c r="B41" s="164"/>
      <c r="C41" s="164"/>
      <c r="D41" s="164"/>
      <c r="E41" s="164"/>
      <c r="F41" s="164"/>
      <c r="G41" s="164"/>
      <c r="H41" s="164"/>
      <c r="I41" s="164"/>
      <c r="J41" s="164"/>
      <c r="K41" s="164"/>
      <c r="L41" s="164"/>
      <c r="M41" s="164"/>
      <c r="N41" s="164"/>
    </row>
    <row r="42" spans="1:14" s="68" customFormat="1" x14ac:dyDescent="0.3">
      <c r="A42" s="107"/>
      <c r="B42" s="155" t="s">
        <v>1</v>
      </c>
      <c r="C42" s="156" t="s">
        <v>18</v>
      </c>
      <c r="D42" s="156" t="s">
        <v>19</v>
      </c>
      <c r="E42" s="157" t="s">
        <v>20</v>
      </c>
      <c r="F42" s="158" t="s">
        <v>21</v>
      </c>
      <c r="G42" s="159" t="s">
        <v>138</v>
      </c>
      <c r="H42" s="159" t="s">
        <v>139</v>
      </c>
      <c r="I42" s="159" t="s">
        <v>22</v>
      </c>
      <c r="J42" s="159" t="s">
        <v>23</v>
      </c>
      <c r="K42" s="159" t="s">
        <v>24</v>
      </c>
      <c r="L42" s="159" t="s">
        <v>25</v>
      </c>
      <c r="M42" s="159" t="s">
        <v>26</v>
      </c>
      <c r="N42" s="160" t="s">
        <v>27</v>
      </c>
    </row>
    <row r="43" spans="1:14" x14ac:dyDescent="0.3">
      <c r="A43" s="153" t="s">
        <v>28</v>
      </c>
      <c r="B43" s="161">
        <f t="shared" ref="B43:B60" si="1">SUM(C43:N43)</f>
        <v>110864174.66038378</v>
      </c>
      <c r="C43" s="161">
        <v>25089788.670331262</v>
      </c>
      <c r="D43" s="161">
        <v>20999032.101979341</v>
      </c>
      <c r="E43" s="161">
        <v>29942273.453211594</v>
      </c>
      <c r="F43" s="161">
        <v>29539341.939114649</v>
      </c>
      <c r="G43" s="161">
        <v>5293738.4957469339</v>
      </c>
      <c r="H43" s="161">
        <v>0</v>
      </c>
      <c r="I43" s="161">
        <v>0</v>
      </c>
      <c r="J43" s="161">
        <v>0</v>
      </c>
      <c r="K43" s="161">
        <v>0</v>
      </c>
      <c r="L43" s="161">
        <v>0</v>
      </c>
      <c r="M43" s="161">
        <v>0</v>
      </c>
      <c r="N43" s="161">
        <v>0</v>
      </c>
    </row>
    <row r="44" spans="1:14" x14ac:dyDescent="0.3">
      <c r="A44" s="154" t="s">
        <v>29</v>
      </c>
      <c r="B44" s="162">
        <f>SUM(C44:N44)</f>
        <v>156657204.78361237</v>
      </c>
      <c r="C44" s="162">
        <v>39398192.988120168</v>
      </c>
      <c r="D44" s="162">
        <v>39472389.173410535</v>
      </c>
      <c r="E44" s="162">
        <v>30384638.5167927</v>
      </c>
      <c r="F44" s="162">
        <v>33604301.885347947</v>
      </c>
      <c r="G44" s="162">
        <v>13797682.219941011</v>
      </c>
      <c r="H44" s="162">
        <v>0</v>
      </c>
      <c r="I44" s="162">
        <v>0</v>
      </c>
      <c r="J44" s="162">
        <v>0</v>
      </c>
      <c r="K44" s="162">
        <v>0</v>
      </c>
      <c r="L44" s="162">
        <v>0</v>
      </c>
      <c r="M44" s="162">
        <v>0</v>
      </c>
      <c r="N44" s="162">
        <v>0</v>
      </c>
    </row>
    <row r="45" spans="1:14" x14ac:dyDescent="0.3">
      <c r="A45" s="154" t="s">
        <v>30</v>
      </c>
      <c r="B45" s="162">
        <f t="shared" si="1"/>
        <v>10933627.977865197</v>
      </c>
      <c r="C45" s="162">
        <v>5761683.2144167842</v>
      </c>
      <c r="D45" s="162">
        <v>0</v>
      </c>
      <c r="E45" s="162">
        <v>3848762.5463061449</v>
      </c>
      <c r="F45" s="162">
        <v>0</v>
      </c>
      <c r="G45" s="162">
        <v>1323182.2171422669</v>
      </c>
      <c r="H45" s="162">
        <v>0</v>
      </c>
      <c r="I45" s="162">
        <v>0</v>
      </c>
      <c r="J45" s="162">
        <v>0</v>
      </c>
      <c r="K45" s="162">
        <v>0</v>
      </c>
      <c r="L45" s="162">
        <v>0</v>
      </c>
      <c r="M45" s="162">
        <v>0</v>
      </c>
      <c r="N45" s="162">
        <v>0</v>
      </c>
    </row>
    <row r="46" spans="1:14" x14ac:dyDescent="0.3">
      <c r="A46" s="154" t="s">
        <v>142</v>
      </c>
      <c r="B46" s="162">
        <f t="shared" si="1"/>
        <v>1542200.3735219415</v>
      </c>
      <c r="C46" s="162">
        <v>0</v>
      </c>
      <c r="D46" s="162">
        <v>0</v>
      </c>
      <c r="E46" s="162">
        <v>0</v>
      </c>
      <c r="F46" s="162">
        <v>0</v>
      </c>
      <c r="G46" s="162">
        <v>1542200.3735219415</v>
      </c>
      <c r="H46" s="162">
        <v>0</v>
      </c>
      <c r="I46" s="162">
        <v>0</v>
      </c>
      <c r="J46" s="162">
        <v>0</v>
      </c>
      <c r="K46" s="162">
        <v>0</v>
      </c>
      <c r="L46" s="162">
        <v>0</v>
      </c>
      <c r="M46" s="162">
        <v>0</v>
      </c>
      <c r="N46" s="162">
        <v>0</v>
      </c>
    </row>
    <row r="47" spans="1:14" x14ac:dyDescent="0.3">
      <c r="A47" s="154" t="s">
        <v>31</v>
      </c>
      <c r="B47" s="162">
        <f t="shared" si="1"/>
        <v>1850640.4482263296</v>
      </c>
      <c r="C47" s="162">
        <v>0</v>
      </c>
      <c r="D47" s="162">
        <v>0</v>
      </c>
      <c r="E47" s="162">
        <v>0</v>
      </c>
      <c r="F47" s="162">
        <v>0</v>
      </c>
      <c r="G47" s="162">
        <v>1850640.4482263296</v>
      </c>
      <c r="H47" s="162">
        <v>0</v>
      </c>
      <c r="I47" s="162">
        <v>0</v>
      </c>
      <c r="J47" s="162">
        <v>0</v>
      </c>
      <c r="K47" s="162">
        <v>0</v>
      </c>
      <c r="L47" s="162">
        <v>0</v>
      </c>
      <c r="M47" s="162">
        <v>0</v>
      </c>
      <c r="N47" s="162">
        <v>0</v>
      </c>
    </row>
    <row r="48" spans="1:14" x14ac:dyDescent="0.3">
      <c r="A48" s="154" t="s">
        <v>32</v>
      </c>
      <c r="B48" s="162">
        <f t="shared" si="1"/>
        <v>269899571.78627592</v>
      </c>
      <c r="C48" s="162">
        <v>75978969.703537613</v>
      </c>
      <c r="D48" s="162">
        <v>32808740.796774533</v>
      </c>
      <c r="E48" s="162">
        <v>60698979.119585857</v>
      </c>
      <c r="F48" s="162">
        <v>63185271.955922291</v>
      </c>
      <c r="G48" s="162">
        <v>31878321.204875629</v>
      </c>
      <c r="H48" s="162">
        <v>3141231.2626242707</v>
      </c>
      <c r="I48" s="162">
        <v>2208057.7429556996</v>
      </c>
      <c r="J48" s="162">
        <v>0</v>
      </c>
      <c r="K48" s="162">
        <v>0</v>
      </c>
      <c r="L48" s="162">
        <v>0</v>
      </c>
      <c r="M48" s="162">
        <v>0</v>
      </c>
      <c r="N48" s="162">
        <v>0</v>
      </c>
    </row>
    <row r="49" spans="1:14" x14ac:dyDescent="0.3">
      <c r="A49" s="154" t="s">
        <v>143</v>
      </c>
      <c r="B49" s="162">
        <f t="shared" si="1"/>
        <v>6990728.112216264</v>
      </c>
      <c r="C49" s="162">
        <v>1352888.0807370467</v>
      </c>
      <c r="D49" s="162">
        <v>792208.79734015663</v>
      </c>
      <c r="E49" s="162">
        <v>1571179.3466740011</v>
      </c>
      <c r="F49" s="162">
        <v>3274451.8874650602</v>
      </c>
      <c r="G49" s="162">
        <v>0</v>
      </c>
      <c r="H49" s="162">
        <v>0</v>
      </c>
      <c r="I49" s="162">
        <v>0</v>
      </c>
      <c r="J49" s="162">
        <v>0</v>
      </c>
      <c r="K49" s="162">
        <v>0</v>
      </c>
      <c r="L49" s="162">
        <v>0</v>
      </c>
      <c r="M49" s="162">
        <v>0</v>
      </c>
      <c r="N49" s="162">
        <v>0</v>
      </c>
    </row>
    <row r="50" spans="1:14" x14ac:dyDescent="0.3">
      <c r="A50" s="154" t="s">
        <v>33</v>
      </c>
      <c r="B50" s="162">
        <f t="shared" si="1"/>
        <v>2805307.5528126615</v>
      </c>
      <c r="C50" s="162">
        <v>808025.71746569173</v>
      </c>
      <c r="D50" s="162">
        <v>0</v>
      </c>
      <c r="E50" s="162">
        <v>1997281.8353469698</v>
      </c>
      <c r="F50" s="162">
        <v>0</v>
      </c>
      <c r="G50" s="162">
        <v>0</v>
      </c>
      <c r="H50" s="162">
        <v>0</v>
      </c>
      <c r="I50" s="162">
        <v>0</v>
      </c>
      <c r="J50" s="162">
        <v>0</v>
      </c>
      <c r="K50" s="162">
        <v>0</v>
      </c>
      <c r="L50" s="162">
        <v>0</v>
      </c>
      <c r="M50" s="162">
        <v>0</v>
      </c>
      <c r="N50" s="162">
        <v>0</v>
      </c>
    </row>
    <row r="51" spans="1:14" x14ac:dyDescent="0.3">
      <c r="A51" s="154" t="s">
        <v>34</v>
      </c>
      <c r="B51" s="162">
        <f t="shared" si="1"/>
        <v>9672578.9575049635</v>
      </c>
      <c r="C51" s="162">
        <v>2076416.5266427773</v>
      </c>
      <c r="D51" s="162">
        <v>3544567.6351632713</v>
      </c>
      <c r="E51" s="162">
        <v>0</v>
      </c>
      <c r="F51" s="162">
        <v>2355174.3848247798</v>
      </c>
      <c r="G51" s="162">
        <v>1696420.4108741356</v>
      </c>
      <c r="H51" s="162">
        <v>0</v>
      </c>
      <c r="I51" s="162">
        <v>0</v>
      </c>
      <c r="J51" s="162">
        <v>0</v>
      </c>
      <c r="K51" s="162">
        <v>0</v>
      </c>
      <c r="L51" s="162">
        <v>0</v>
      </c>
      <c r="M51" s="162">
        <v>0</v>
      </c>
      <c r="N51" s="162">
        <v>0</v>
      </c>
    </row>
    <row r="52" spans="1:14" x14ac:dyDescent="0.3">
      <c r="A52" s="154" t="s">
        <v>35</v>
      </c>
      <c r="B52" s="162">
        <f t="shared" si="1"/>
        <v>150423684.61437899</v>
      </c>
      <c r="C52" s="162">
        <v>35784091.383334383</v>
      </c>
      <c r="D52" s="162">
        <v>31071351.524537709</v>
      </c>
      <c r="E52" s="162">
        <v>36253564.144978337</v>
      </c>
      <c r="F52" s="162">
        <v>26402386.005491201</v>
      </c>
      <c r="G52" s="162">
        <v>17318863.928640198</v>
      </c>
      <c r="H52" s="162">
        <v>0</v>
      </c>
      <c r="I52" s="162">
        <v>0</v>
      </c>
      <c r="J52" s="162">
        <v>0</v>
      </c>
      <c r="K52" s="162">
        <v>0</v>
      </c>
      <c r="L52" s="162">
        <v>0</v>
      </c>
      <c r="M52" s="162">
        <v>0</v>
      </c>
      <c r="N52" s="162">
        <v>3593427.6273971936</v>
      </c>
    </row>
    <row r="53" spans="1:14" x14ac:dyDescent="0.3">
      <c r="A53" s="154" t="s">
        <v>36</v>
      </c>
      <c r="B53" s="162">
        <f t="shared" si="1"/>
        <v>1555109645.2666235</v>
      </c>
      <c r="C53" s="162">
        <v>419843121.7189793</v>
      </c>
      <c r="D53" s="162">
        <v>285266371.27677137</v>
      </c>
      <c r="E53" s="162">
        <v>371695536.10621715</v>
      </c>
      <c r="F53" s="162">
        <v>357152466.69324833</v>
      </c>
      <c r="G53" s="162">
        <v>99138418.295505896</v>
      </c>
      <c r="H53" s="162">
        <v>5801835.5834950488</v>
      </c>
      <c r="I53" s="162">
        <v>6236059.936777804</v>
      </c>
      <c r="J53" s="162">
        <v>2410321.6503854836</v>
      </c>
      <c r="K53" s="162">
        <v>0</v>
      </c>
      <c r="L53" s="162">
        <v>0</v>
      </c>
      <c r="M53" s="162">
        <v>0</v>
      </c>
      <c r="N53" s="162">
        <v>7565514.0052431189</v>
      </c>
    </row>
    <row r="54" spans="1:14" x14ac:dyDescent="0.3">
      <c r="A54" s="154" t="s">
        <v>37</v>
      </c>
      <c r="B54" s="162">
        <f t="shared" si="1"/>
        <v>90518253.518374994</v>
      </c>
      <c r="C54" s="162">
        <v>26171434.549373269</v>
      </c>
      <c r="D54" s="162">
        <v>13284007.301881943</v>
      </c>
      <c r="E54" s="162">
        <v>18591453.193270151</v>
      </c>
      <c r="F54" s="162">
        <v>19424679.935070213</v>
      </c>
      <c r="G54" s="162">
        <v>13046678.538779428</v>
      </c>
      <c r="H54" s="162">
        <v>0</v>
      </c>
      <c r="I54" s="162">
        <v>0</v>
      </c>
      <c r="J54" s="162">
        <v>0</v>
      </c>
      <c r="K54" s="162">
        <v>0</v>
      </c>
      <c r="L54" s="162">
        <v>0</v>
      </c>
      <c r="M54" s="162">
        <v>0</v>
      </c>
      <c r="N54" s="162">
        <v>0</v>
      </c>
    </row>
    <row r="55" spans="1:14" x14ac:dyDescent="0.3">
      <c r="A55" s="154" t="s">
        <v>144</v>
      </c>
      <c r="B55" s="162">
        <f t="shared" si="1"/>
        <v>3725157.2426355258</v>
      </c>
      <c r="C55" s="162">
        <v>239872.81796402042</v>
      </c>
      <c r="D55" s="162">
        <v>1523503.7643269438</v>
      </c>
      <c r="E55" s="162">
        <v>0</v>
      </c>
      <c r="F55" s="162">
        <v>0</v>
      </c>
      <c r="G55" s="162">
        <v>1961780.6603445618</v>
      </c>
      <c r="H55" s="162">
        <v>0</v>
      </c>
      <c r="I55" s="162">
        <v>0</v>
      </c>
      <c r="J55" s="162">
        <v>0</v>
      </c>
      <c r="K55" s="162">
        <v>0</v>
      </c>
      <c r="L55" s="162">
        <v>0</v>
      </c>
      <c r="M55" s="162">
        <v>0</v>
      </c>
      <c r="N55" s="162">
        <v>0</v>
      </c>
    </row>
    <row r="56" spans="1:14" x14ac:dyDescent="0.3">
      <c r="A56" s="154" t="s">
        <v>38</v>
      </c>
      <c r="B56" s="162">
        <f t="shared" si="1"/>
        <v>8569755.7679977976</v>
      </c>
      <c r="C56" s="162">
        <v>801228.79832214024</v>
      </c>
      <c r="D56" s="162">
        <v>945548.75234586094</v>
      </c>
      <c r="E56" s="162">
        <v>1820895.5155554209</v>
      </c>
      <c r="F56" s="162">
        <v>771994.66297761339</v>
      </c>
      <c r="G56" s="162">
        <v>4230088.0387967629</v>
      </c>
      <c r="H56" s="162">
        <v>0</v>
      </c>
      <c r="I56" s="162">
        <v>0</v>
      </c>
      <c r="J56" s="162">
        <v>0</v>
      </c>
      <c r="K56" s="162">
        <v>0</v>
      </c>
      <c r="L56" s="162">
        <v>0</v>
      </c>
      <c r="M56" s="162">
        <v>0</v>
      </c>
      <c r="N56" s="162">
        <v>0</v>
      </c>
    </row>
    <row r="57" spans="1:14" x14ac:dyDescent="0.3">
      <c r="A57" s="154" t="s">
        <v>39</v>
      </c>
      <c r="B57" s="162">
        <f t="shared" si="1"/>
        <v>5253704.0021838862</v>
      </c>
      <c r="C57" s="162">
        <v>1552423.1057312272</v>
      </c>
      <c r="D57" s="162">
        <v>0</v>
      </c>
      <c r="E57" s="162">
        <v>0</v>
      </c>
      <c r="F57" s="162">
        <v>3701280.8964526593</v>
      </c>
      <c r="G57" s="162">
        <v>0</v>
      </c>
      <c r="H57" s="162">
        <v>0</v>
      </c>
      <c r="I57" s="162">
        <v>0</v>
      </c>
      <c r="J57" s="162">
        <v>0</v>
      </c>
      <c r="K57" s="162">
        <v>0</v>
      </c>
      <c r="L57" s="162">
        <v>0</v>
      </c>
      <c r="M57" s="162">
        <v>0</v>
      </c>
      <c r="N57" s="162">
        <v>0</v>
      </c>
    </row>
    <row r="58" spans="1:14" x14ac:dyDescent="0.3">
      <c r="A58" s="154" t="s">
        <v>40</v>
      </c>
      <c r="B58" s="162">
        <f t="shared" si="1"/>
        <v>1048239979.1476022</v>
      </c>
      <c r="C58" s="162">
        <v>306240963.15270478</v>
      </c>
      <c r="D58" s="162">
        <v>180128755.94998276</v>
      </c>
      <c r="E58" s="162">
        <v>207063997.84674004</v>
      </c>
      <c r="F58" s="162">
        <v>233417768.16509914</v>
      </c>
      <c r="G58" s="162">
        <v>115527676.12238154</v>
      </c>
      <c r="H58" s="162">
        <v>4443296.2123025889</v>
      </c>
      <c r="I58" s="162">
        <v>1417521.6983913512</v>
      </c>
      <c r="J58" s="162">
        <v>0</v>
      </c>
      <c r="K58" s="162">
        <v>0</v>
      </c>
      <c r="L58" s="162">
        <v>0</v>
      </c>
      <c r="M58" s="162">
        <v>0</v>
      </c>
      <c r="N58" s="162">
        <v>0</v>
      </c>
    </row>
    <row r="59" spans="1:14" x14ac:dyDescent="0.3">
      <c r="A59" s="154" t="s">
        <v>41</v>
      </c>
      <c r="B59" s="162">
        <f t="shared" si="1"/>
        <v>14223714.52821565</v>
      </c>
      <c r="C59" s="162">
        <v>3217267.4780242923</v>
      </c>
      <c r="D59" s="162">
        <v>3540001.6939240643</v>
      </c>
      <c r="E59" s="162">
        <v>0</v>
      </c>
      <c r="F59" s="162">
        <v>5087630.6127608027</v>
      </c>
      <c r="G59" s="162">
        <v>2378814.7435064903</v>
      </c>
      <c r="H59" s="162">
        <v>0</v>
      </c>
      <c r="I59" s="162">
        <v>0</v>
      </c>
      <c r="J59" s="162">
        <v>0</v>
      </c>
      <c r="K59" s="162">
        <v>0</v>
      </c>
      <c r="L59" s="162">
        <v>0</v>
      </c>
      <c r="M59" s="162">
        <v>0</v>
      </c>
      <c r="N59" s="162">
        <v>0</v>
      </c>
    </row>
    <row r="60" spans="1:14" ht="14" thickBot="1" x14ac:dyDescent="0.35">
      <c r="A60" s="154" t="s">
        <v>145</v>
      </c>
      <c r="B60" s="168">
        <f t="shared" si="1"/>
        <v>15079473.259570308</v>
      </c>
      <c r="C60" s="168">
        <v>1267679.9062115708</v>
      </c>
      <c r="D60" s="168">
        <v>0</v>
      </c>
      <c r="E60" s="168">
        <v>6101743.5374462847</v>
      </c>
      <c r="F60" s="168">
        <v>1770218.8112814899</v>
      </c>
      <c r="G60" s="168">
        <v>5939831.0046309633</v>
      </c>
      <c r="H60" s="168">
        <v>0</v>
      </c>
      <c r="I60" s="168">
        <v>0</v>
      </c>
      <c r="J60" s="168">
        <v>0</v>
      </c>
      <c r="K60" s="168">
        <v>0</v>
      </c>
      <c r="L60" s="168">
        <v>0</v>
      </c>
      <c r="M60" s="168">
        <v>0</v>
      </c>
      <c r="N60" s="168">
        <v>0</v>
      </c>
    </row>
    <row r="61" spans="1:14" ht="14" thickTop="1" x14ac:dyDescent="0.3">
      <c r="A61" s="45" t="s">
        <v>1</v>
      </c>
      <c r="B61" s="20">
        <f>SUM(C61:N61)</f>
        <v>3462359402.0000024</v>
      </c>
      <c r="C61" s="20">
        <f t="shared" ref="C61:J61" si="2">SUM(C43:C60)</f>
        <v>945584047.81189632</v>
      </c>
      <c r="D61" s="20">
        <f t="shared" si="2"/>
        <v>613376478.76843846</v>
      </c>
      <c r="E61" s="20">
        <f t="shared" si="2"/>
        <v>769970305.16212463</v>
      </c>
      <c r="F61" s="20">
        <f t="shared" si="2"/>
        <v>779686967.83505619</v>
      </c>
      <c r="G61" s="20">
        <f t="shared" si="2"/>
        <v>316924336.70291412</v>
      </c>
      <c r="H61" s="20">
        <f t="shared" si="2"/>
        <v>13386363.05842191</v>
      </c>
      <c r="I61" s="24">
        <f t="shared" si="2"/>
        <v>9861639.3781248555</v>
      </c>
      <c r="J61" s="24">
        <f t="shared" si="2"/>
        <v>2410321.6503854836</v>
      </c>
      <c r="K61" s="24">
        <f t="shared" ref="K61:M61" si="3">SUM(K43:K60)</f>
        <v>0</v>
      </c>
      <c r="L61" s="24">
        <f t="shared" si="3"/>
        <v>0</v>
      </c>
      <c r="M61" s="24">
        <f t="shared" si="3"/>
        <v>0</v>
      </c>
      <c r="N61" s="24">
        <f>SUM(N43:N60)</f>
        <v>11158941.632640313</v>
      </c>
    </row>
    <row r="62" spans="1:14" x14ac:dyDescent="0.3">
      <c r="A62" s="37"/>
      <c r="B62" s="38"/>
      <c r="C62" s="38"/>
      <c r="D62" s="38"/>
      <c r="E62" s="38"/>
      <c r="F62" s="38"/>
      <c r="G62" s="38"/>
      <c r="H62" s="38"/>
      <c r="I62" s="39"/>
      <c r="J62" s="39"/>
      <c r="K62" s="39"/>
      <c r="L62" s="39"/>
      <c r="M62" s="39"/>
      <c r="N62" s="39"/>
    </row>
    <row r="64" spans="1:14" x14ac:dyDescent="0.3">
      <c r="A64" s="164" t="s">
        <v>88</v>
      </c>
      <c r="B64" s="164"/>
      <c r="C64" s="164"/>
      <c r="D64" s="164"/>
      <c r="E64" s="164"/>
      <c r="F64" s="164"/>
      <c r="G64" s="164"/>
      <c r="H64" s="164"/>
      <c r="I64" s="164"/>
      <c r="J64" s="164"/>
      <c r="K64" s="164"/>
      <c r="L64" s="164"/>
      <c r="M64" s="164"/>
      <c r="N64" s="164"/>
    </row>
    <row r="65" spans="1:16" s="69" customFormat="1" x14ac:dyDescent="0.3">
      <c r="A65" s="108"/>
      <c r="B65" s="109" t="s">
        <v>1</v>
      </c>
      <c r="C65" s="110" t="s">
        <v>18</v>
      </c>
      <c r="D65" s="110" t="s">
        <v>19</v>
      </c>
      <c r="E65" s="111" t="s">
        <v>20</v>
      </c>
      <c r="F65" s="112" t="s">
        <v>21</v>
      </c>
      <c r="G65" s="159" t="s">
        <v>138</v>
      </c>
      <c r="H65" s="159" t="s">
        <v>139</v>
      </c>
      <c r="I65" s="112" t="s">
        <v>22</v>
      </c>
      <c r="J65" s="112" t="s">
        <v>23</v>
      </c>
      <c r="K65" s="112" t="s">
        <v>24</v>
      </c>
      <c r="L65" s="112" t="s">
        <v>25</v>
      </c>
      <c r="M65" s="112" t="s">
        <v>26</v>
      </c>
      <c r="N65" s="110" t="s">
        <v>27</v>
      </c>
    </row>
    <row r="66" spans="1:16" x14ac:dyDescent="0.3">
      <c r="A66" s="12"/>
      <c r="B66" s="11"/>
      <c r="C66" s="13"/>
      <c r="D66" s="13"/>
      <c r="E66" s="17"/>
      <c r="F66" s="13"/>
      <c r="G66" s="13"/>
      <c r="H66" s="13"/>
      <c r="I66" s="13"/>
      <c r="J66" s="13"/>
      <c r="K66" s="13"/>
      <c r="L66" s="13"/>
      <c r="M66" s="13"/>
      <c r="N66" s="13"/>
    </row>
    <row r="67" spans="1:16" ht="27" x14ac:dyDescent="0.3">
      <c r="A67" s="16" t="s">
        <v>42</v>
      </c>
      <c r="B67" s="25" t="s">
        <v>4</v>
      </c>
      <c r="C67" s="15" t="s">
        <v>4</v>
      </c>
      <c r="D67" s="15" t="s">
        <v>4</v>
      </c>
      <c r="E67" s="14" t="s">
        <v>4</v>
      </c>
      <c r="F67" s="15" t="s">
        <v>4</v>
      </c>
      <c r="G67" s="15" t="s">
        <v>4</v>
      </c>
      <c r="H67" s="15" t="s">
        <v>4</v>
      </c>
      <c r="I67" s="15" t="s">
        <v>4</v>
      </c>
      <c r="J67" s="15" t="s">
        <v>4</v>
      </c>
      <c r="K67" s="15" t="s">
        <v>4</v>
      </c>
      <c r="L67" s="15" t="s">
        <v>4</v>
      </c>
      <c r="M67" s="15" t="s">
        <v>4</v>
      </c>
      <c r="N67" s="15" t="s">
        <v>4</v>
      </c>
    </row>
    <row r="68" spans="1:16" x14ac:dyDescent="0.3">
      <c r="A68" s="41" t="s">
        <v>48</v>
      </c>
      <c r="B68" s="137">
        <v>3420407391.4247427</v>
      </c>
      <c r="C68" s="137">
        <v>937752377.25304806</v>
      </c>
      <c r="D68" s="137">
        <v>608296271.96780896</v>
      </c>
      <c r="E68" s="137">
        <v>763593131.41000879</v>
      </c>
      <c r="F68" s="137">
        <v>773229317.15319288</v>
      </c>
      <c r="G68" s="137">
        <v>314299454.22643602</v>
      </c>
      <c r="H68" s="137">
        <f>SUM(H50:H67)</f>
        <v>23631494.854219548</v>
      </c>
      <c r="I68" s="50">
        <v>9779961.6986437384</v>
      </c>
      <c r="J68" s="50">
        <v>2390358.4909494086</v>
      </c>
      <c r="K68" s="50"/>
      <c r="L68" s="50"/>
      <c r="M68" s="50"/>
      <c r="N68" s="50">
        <v>11066519.224653963</v>
      </c>
    </row>
    <row r="69" spans="1:16" x14ac:dyDescent="0.3">
      <c r="A69" s="49" t="s">
        <v>43</v>
      </c>
      <c r="B69" s="51"/>
      <c r="C69" s="33"/>
      <c r="D69" s="33"/>
      <c r="E69" s="33"/>
      <c r="F69" s="33"/>
      <c r="G69" s="33"/>
      <c r="H69" s="33"/>
      <c r="I69" s="27"/>
      <c r="J69" s="27"/>
      <c r="K69" s="27"/>
      <c r="L69" s="27"/>
      <c r="M69" s="27"/>
      <c r="N69" s="27"/>
      <c r="O69" s="70"/>
    </row>
    <row r="70" spans="1:16" x14ac:dyDescent="0.3">
      <c r="A70" s="42" t="s">
        <v>44</v>
      </c>
      <c r="B70" s="21"/>
      <c r="C70" s="31"/>
      <c r="D70" s="31"/>
      <c r="E70" s="32"/>
      <c r="F70" s="33"/>
      <c r="G70" s="33"/>
      <c r="H70" s="33"/>
      <c r="I70" s="27"/>
      <c r="J70" s="27"/>
      <c r="K70" s="27"/>
      <c r="L70" s="27"/>
      <c r="M70" s="27"/>
      <c r="N70" s="28"/>
    </row>
    <row r="71" spans="1:16" x14ac:dyDescent="0.3">
      <c r="A71" s="42" t="s">
        <v>45</v>
      </c>
      <c r="B71" s="21"/>
      <c r="C71" s="31"/>
      <c r="D71" s="31"/>
      <c r="E71" s="32"/>
      <c r="F71" s="33"/>
      <c r="G71" s="33"/>
      <c r="H71" s="33"/>
      <c r="I71" s="27"/>
      <c r="J71" s="27"/>
      <c r="K71" s="27"/>
      <c r="L71" s="27"/>
      <c r="M71" s="27"/>
      <c r="N71" s="28"/>
    </row>
    <row r="72" spans="1:16" x14ac:dyDescent="0.3">
      <c r="A72" s="42" t="s">
        <v>46</v>
      </c>
      <c r="B72" s="21"/>
      <c r="C72" s="31"/>
      <c r="D72" s="31"/>
      <c r="E72" s="32"/>
      <c r="F72" s="33"/>
      <c r="G72" s="33"/>
      <c r="H72" s="33"/>
      <c r="I72" s="27"/>
      <c r="J72" s="27"/>
      <c r="K72" s="27"/>
      <c r="L72" s="27"/>
      <c r="M72" s="27"/>
      <c r="N72" s="28"/>
    </row>
    <row r="73" spans="1:16" ht="14" thickBot="1" x14ac:dyDescent="0.35">
      <c r="A73" s="43" t="s">
        <v>47</v>
      </c>
      <c r="B73" s="21"/>
      <c r="C73" s="34"/>
      <c r="D73" s="34"/>
      <c r="E73" s="35"/>
      <c r="F73" s="36"/>
      <c r="G73" s="36"/>
      <c r="H73" s="36"/>
      <c r="I73" s="29"/>
      <c r="J73" s="29"/>
      <c r="K73" s="29"/>
      <c r="L73" s="29"/>
      <c r="M73" s="29"/>
      <c r="N73" s="30"/>
    </row>
    <row r="74" spans="1:16" ht="14" thickTop="1" x14ac:dyDescent="0.3">
      <c r="A74" s="44" t="s">
        <v>1</v>
      </c>
      <c r="B74" s="22">
        <f>SUM(B68:B73)</f>
        <v>3420407391.4247427</v>
      </c>
      <c r="C74" s="22">
        <f t="shared" ref="C74:N74" si="4">SUM(C68:C73)</f>
        <v>937752377.25304806</v>
      </c>
      <c r="D74" s="22">
        <f t="shared" si="4"/>
        <v>608296271.96780896</v>
      </c>
      <c r="E74" s="22">
        <f t="shared" si="4"/>
        <v>763593131.41000879</v>
      </c>
      <c r="F74" s="22">
        <f t="shared" si="4"/>
        <v>773229317.15319288</v>
      </c>
      <c r="G74" s="22">
        <f t="shared" si="4"/>
        <v>314299454.22643602</v>
      </c>
      <c r="H74" s="22">
        <f t="shared" si="4"/>
        <v>23631494.854219548</v>
      </c>
      <c r="I74" s="22">
        <f t="shared" si="4"/>
        <v>9779961.6986437384</v>
      </c>
      <c r="J74" s="22">
        <f t="shared" si="4"/>
        <v>2390358.4909494086</v>
      </c>
      <c r="K74" s="22">
        <f t="shared" si="4"/>
        <v>0</v>
      </c>
      <c r="L74" s="22">
        <f t="shared" si="4"/>
        <v>0</v>
      </c>
      <c r="M74" s="22">
        <f t="shared" si="4"/>
        <v>0</v>
      </c>
      <c r="N74" s="23">
        <f t="shared" si="4"/>
        <v>11066519.224653963</v>
      </c>
    </row>
    <row r="75" spans="1:16" x14ac:dyDescent="0.3">
      <c r="A75" s="26"/>
      <c r="B75" s="40"/>
      <c r="C75" s="40"/>
      <c r="D75" s="40"/>
      <c r="E75" s="40"/>
      <c r="F75" s="40"/>
      <c r="G75" s="40"/>
      <c r="H75" s="40"/>
      <c r="I75" s="40"/>
      <c r="J75" s="40"/>
      <c r="K75" s="40"/>
      <c r="L75" s="40"/>
      <c r="M75" s="40"/>
      <c r="N75" s="40"/>
    </row>
    <row r="77" spans="1:16" x14ac:dyDescent="0.3">
      <c r="A77" s="164" t="s">
        <v>89</v>
      </c>
      <c r="B77" s="164"/>
      <c r="C77" s="164"/>
      <c r="D77" s="164"/>
      <c r="E77" s="164"/>
      <c r="F77" s="164"/>
      <c r="G77" s="164"/>
      <c r="H77" s="164"/>
      <c r="I77" s="164"/>
      <c r="J77" s="164"/>
      <c r="K77" s="164"/>
      <c r="L77" s="164"/>
      <c r="M77" s="164"/>
      <c r="N77" s="164"/>
    </row>
    <row r="78" spans="1:16" x14ac:dyDescent="0.3">
      <c r="A78" s="108"/>
      <c r="B78" s="109" t="s">
        <v>1</v>
      </c>
      <c r="C78" s="110" t="s">
        <v>18</v>
      </c>
      <c r="D78" s="110" t="s">
        <v>19</v>
      </c>
      <c r="E78" s="111" t="s">
        <v>20</v>
      </c>
      <c r="F78" s="112" t="s">
        <v>21</v>
      </c>
      <c r="G78" s="159" t="s">
        <v>138</v>
      </c>
      <c r="H78" s="159" t="s">
        <v>139</v>
      </c>
      <c r="I78" s="112" t="s">
        <v>22</v>
      </c>
      <c r="J78" s="112" t="s">
        <v>23</v>
      </c>
      <c r="K78" s="112" t="s">
        <v>24</v>
      </c>
      <c r="L78" s="112" t="s">
        <v>25</v>
      </c>
      <c r="M78" s="112" t="s">
        <v>26</v>
      </c>
      <c r="N78" s="110" t="s">
        <v>27</v>
      </c>
    </row>
    <row r="79" spans="1:16" x14ac:dyDescent="0.3">
      <c r="A79" s="46"/>
      <c r="B79" s="11"/>
      <c r="C79" s="13"/>
      <c r="D79" s="13"/>
      <c r="E79" s="17"/>
      <c r="F79" s="13"/>
      <c r="G79" s="13"/>
      <c r="H79" s="13"/>
      <c r="I79" s="13"/>
      <c r="J79" s="13"/>
      <c r="K79" s="13"/>
      <c r="L79" s="13"/>
      <c r="M79" s="13"/>
      <c r="N79" s="13"/>
      <c r="O79" s="69"/>
      <c r="P79" s="69"/>
    </row>
    <row r="80" spans="1:16" ht="27" x14ac:dyDescent="0.3">
      <c r="A80" s="47" t="s">
        <v>42</v>
      </c>
      <c r="B80" s="25" t="s">
        <v>4</v>
      </c>
      <c r="C80" s="15" t="s">
        <v>4</v>
      </c>
      <c r="D80" s="15" t="s">
        <v>4</v>
      </c>
      <c r="E80" s="14" t="s">
        <v>4</v>
      </c>
      <c r="F80" s="15" t="s">
        <v>4</v>
      </c>
      <c r="G80" s="15" t="s">
        <v>4</v>
      </c>
      <c r="H80" s="15" t="s">
        <v>4</v>
      </c>
      <c r="I80" s="15" t="s">
        <v>4</v>
      </c>
      <c r="J80" s="15" t="s">
        <v>4</v>
      </c>
      <c r="K80" s="15" t="s">
        <v>4</v>
      </c>
      <c r="L80" s="15" t="s">
        <v>4</v>
      </c>
      <c r="M80" s="15" t="s">
        <v>4</v>
      </c>
      <c r="N80" s="15" t="s">
        <v>4</v>
      </c>
    </row>
    <row r="81" spans="1:15" x14ac:dyDescent="0.3">
      <c r="A81" s="42" t="s">
        <v>62</v>
      </c>
      <c r="B81" s="71">
        <f>SUM(C81:N81)</f>
        <v>578753318.48447978</v>
      </c>
      <c r="C81" s="72">
        <v>95304274.780607164</v>
      </c>
      <c r="D81" s="73">
        <v>95005574.348985717</v>
      </c>
      <c r="E81" s="73">
        <v>117179952.32244927</v>
      </c>
      <c r="F81" s="73">
        <v>172291554.56120342</v>
      </c>
      <c r="G81" s="73">
        <v>89835225.146043733</v>
      </c>
      <c r="H81" s="78">
        <v>3132425.8948089383</v>
      </c>
      <c r="I81" s="74">
        <v>2410883.8029843043</v>
      </c>
      <c r="J81" s="75">
        <v>0</v>
      </c>
      <c r="K81" s="71">
        <v>0</v>
      </c>
      <c r="L81" s="76">
        <v>0</v>
      </c>
      <c r="M81" s="76">
        <v>0</v>
      </c>
      <c r="N81" s="71">
        <v>3593427.6273971936</v>
      </c>
    </row>
    <row r="82" spans="1:15" x14ac:dyDescent="0.3">
      <c r="A82" s="42" t="s">
        <v>63</v>
      </c>
      <c r="B82" s="75">
        <f t="shared" ref="B82:B85" si="5">SUM(C82:N82)</f>
        <v>959585848.20902669</v>
      </c>
      <c r="C82" s="77">
        <v>231021529.50811526</v>
      </c>
      <c r="D82" s="78">
        <v>164431379.23964915</v>
      </c>
      <c r="E82" s="78">
        <v>188669129.19211611</v>
      </c>
      <c r="F82" s="78">
        <v>237033944.96498886</v>
      </c>
      <c r="G82" s="78">
        <v>130241245.0706896</v>
      </c>
      <c r="H82" s="78">
        <v>3159682.744210565</v>
      </c>
      <c r="I82" s="74">
        <v>2208057.7429556996</v>
      </c>
      <c r="J82" s="75">
        <v>0</v>
      </c>
      <c r="K82" s="75">
        <v>0</v>
      </c>
      <c r="L82" s="74">
        <v>0</v>
      </c>
      <c r="M82" s="74">
        <v>0</v>
      </c>
      <c r="N82" s="75">
        <v>2820879.7463015905</v>
      </c>
    </row>
    <row r="83" spans="1:15" x14ac:dyDescent="0.3">
      <c r="A83" s="42" t="s">
        <v>64</v>
      </c>
      <c r="B83" s="75">
        <f t="shared" si="5"/>
        <v>885556527.6008153</v>
      </c>
      <c r="C83" s="77">
        <v>220066829.16137961</v>
      </c>
      <c r="D83" s="78">
        <v>134782593.31348178</v>
      </c>
      <c r="E83" s="78">
        <v>214288549.7427071</v>
      </c>
      <c r="F83" s="78">
        <v>248285108.97704947</v>
      </c>
      <c r="G83" s="78">
        <v>58738148.002292618</v>
      </c>
      <c r="H83" s="78">
        <v>3953023.156778133</v>
      </c>
      <c r="I83" s="74">
        <v>1424175.7789363072</v>
      </c>
      <c r="J83" s="75">
        <v>2410321.6503854836</v>
      </c>
      <c r="K83" s="75">
        <v>0</v>
      </c>
      <c r="L83" s="74">
        <v>0</v>
      </c>
      <c r="M83" s="74">
        <v>0</v>
      </c>
      <c r="N83" s="75">
        <v>1607777.8178048413</v>
      </c>
    </row>
    <row r="84" spans="1:15" x14ac:dyDescent="0.3">
      <c r="A84" s="42" t="s">
        <v>65</v>
      </c>
      <c r="B84" s="75">
        <f t="shared" si="5"/>
        <v>682766786.49382055</v>
      </c>
      <c r="C84" s="77">
        <v>227188999.28902718</v>
      </c>
      <c r="D84" s="78">
        <v>138832994.34327829</v>
      </c>
      <c r="E84" s="78">
        <v>179399847.87735805</v>
      </c>
      <c r="F84" s="78">
        <v>99739299.761053115</v>
      </c>
      <c r="G84" s="78">
        <v>31726004.355879053</v>
      </c>
      <c r="H84" s="78">
        <v>1325262.7276968348</v>
      </c>
      <c r="I84" s="74">
        <v>1417521.6983913512</v>
      </c>
      <c r="J84" s="75">
        <v>0</v>
      </c>
      <c r="K84" s="75">
        <v>0</v>
      </c>
      <c r="L84" s="74">
        <v>0</v>
      </c>
      <c r="M84" s="74">
        <v>0</v>
      </c>
      <c r="N84" s="75">
        <v>3136856.4411366861</v>
      </c>
    </row>
    <row r="85" spans="1:15" ht="14" thickBot="1" x14ac:dyDescent="0.35">
      <c r="A85" s="43" t="s">
        <v>66</v>
      </c>
      <c r="B85" s="79">
        <f t="shared" si="5"/>
        <v>355696921.21185952</v>
      </c>
      <c r="C85" s="80">
        <v>172002415.07276705</v>
      </c>
      <c r="D85" s="80">
        <v>80323937.523043647</v>
      </c>
      <c r="E85" s="80">
        <v>70432826.027493969</v>
      </c>
      <c r="F85" s="80">
        <v>22337059.570761137</v>
      </c>
      <c r="G85" s="80">
        <v>6383714.12800908</v>
      </c>
      <c r="H85" s="80">
        <v>1815968.5349274364</v>
      </c>
      <c r="I85" s="81">
        <v>2401000.3548571933</v>
      </c>
      <c r="J85" s="79">
        <v>0</v>
      </c>
      <c r="K85" s="79">
        <v>0</v>
      </c>
      <c r="L85" s="81">
        <v>0</v>
      </c>
      <c r="M85" s="81">
        <v>0</v>
      </c>
      <c r="N85" s="79">
        <v>0</v>
      </c>
    </row>
    <row r="86" spans="1:15" ht="14" thickTop="1" x14ac:dyDescent="0.3">
      <c r="A86" s="42" t="s">
        <v>1</v>
      </c>
      <c r="B86" s="82">
        <f>SUM(B81:B85)</f>
        <v>3462359402.0000024</v>
      </c>
      <c r="C86" s="82">
        <f>SUM(C81:C85)</f>
        <v>945584047.8118962</v>
      </c>
      <c r="D86" s="82">
        <f t="shared" ref="D86:N86" si="6">SUM(D81:D85)</f>
        <v>613376478.76843858</v>
      </c>
      <c r="E86" s="82">
        <f t="shared" si="6"/>
        <v>769970305.16212451</v>
      </c>
      <c r="F86" s="82">
        <f t="shared" si="6"/>
        <v>779686967.83505595</v>
      </c>
      <c r="G86" s="82">
        <f t="shared" si="6"/>
        <v>316924336.70291412</v>
      </c>
      <c r="H86" s="82">
        <f t="shared" si="6"/>
        <v>13386363.058421908</v>
      </c>
      <c r="I86" s="82">
        <f t="shared" si="6"/>
        <v>9861639.3781248555</v>
      </c>
      <c r="J86" s="82">
        <f t="shared" si="6"/>
        <v>2410321.6503854836</v>
      </c>
      <c r="K86" s="82">
        <f t="shared" si="6"/>
        <v>0</v>
      </c>
      <c r="L86" s="82">
        <f t="shared" si="6"/>
        <v>0</v>
      </c>
      <c r="M86" s="82">
        <f t="shared" si="6"/>
        <v>0</v>
      </c>
      <c r="N86" s="82">
        <f t="shared" si="6"/>
        <v>11158941.632640311</v>
      </c>
      <c r="O86" s="70"/>
    </row>
    <row r="87" spans="1:15" x14ac:dyDescent="0.3">
      <c r="A87" s="26"/>
      <c r="B87" s="83"/>
      <c r="C87" s="83"/>
      <c r="D87" s="83"/>
      <c r="E87" s="83"/>
      <c r="F87" s="83"/>
      <c r="G87" s="83"/>
      <c r="H87" s="83"/>
      <c r="I87" s="83"/>
      <c r="J87" s="83"/>
      <c r="K87" s="83"/>
      <c r="L87" s="83"/>
      <c r="M87" s="83"/>
      <c r="N87" s="83"/>
      <c r="O87" s="67"/>
    </row>
    <row r="88" spans="1:15" x14ac:dyDescent="0.3">
      <c r="A88" s="67"/>
    </row>
    <row r="89" spans="1:15" x14ac:dyDescent="0.3">
      <c r="A89" s="164" t="s">
        <v>90</v>
      </c>
      <c r="B89" s="164"/>
      <c r="C89" s="164"/>
      <c r="D89" s="164"/>
      <c r="E89" s="164"/>
      <c r="F89" s="164"/>
      <c r="G89" s="164"/>
      <c r="H89" s="164"/>
      <c r="I89" s="164"/>
      <c r="J89" s="164"/>
      <c r="K89" s="164"/>
      <c r="L89" s="164"/>
      <c r="M89" s="164"/>
      <c r="N89" s="164"/>
    </row>
    <row r="90" spans="1:15" x14ac:dyDescent="0.3">
      <c r="A90" s="108"/>
      <c r="B90" s="109" t="s">
        <v>1</v>
      </c>
      <c r="C90" s="110" t="s">
        <v>18</v>
      </c>
      <c r="D90" s="110" t="s">
        <v>19</v>
      </c>
      <c r="E90" s="111" t="s">
        <v>20</v>
      </c>
      <c r="F90" s="112" t="s">
        <v>21</v>
      </c>
      <c r="G90" s="159" t="s">
        <v>138</v>
      </c>
      <c r="H90" s="159" t="s">
        <v>139</v>
      </c>
      <c r="I90" s="112" t="s">
        <v>22</v>
      </c>
      <c r="J90" s="112" t="s">
        <v>23</v>
      </c>
      <c r="K90" s="112" t="s">
        <v>24</v>
      </c>
      <c r="L90" s="112" t="s">
        <v>25</v>
      </c>
      <c r="M90" s="112" t="s">
        <v>26</v>
      </c>
      <c r="N90" s="110" t="s">
        <v>27</v>
      </c>
    </row>
    <row r="91" spans="1:15" x14ac:dyDescent="0.3">
      <c r="A91" s="46"/>
      <c r="B91" s="11"/>
      <c r="C91" s="13"/>
      <c r="D91" s="13"/>
      <c r="E91" s="17"/>
      <c r="F91" s="13"/>
      <c r="G91" s="13"/>
      <c r="H91" s="13"/>
      <c r="I91" s="13"/>
      <c r="J91" s="13"/>
      <c r="K91" s="13"/>
      <c r="L91" s="13"/>
      <c r="M91" s="13"/>
      <c r="N91" s="13"/>
    </row>
    <row r="92" spans="1:15" ht="27" x14ac:dyDescent="0.3">
      <c r="A92" s="47"/>
      <c r="B92" s="25" t="s">
        <v>4</v>
      </c>
      <c r="C92" s="15" t="s">
        <v>4</v>
      </c>
      <c r="D92" s="15" t="s">
        <v>4</v>
      </c>
      <c r="E92" s="14" t="s">
        <v>4</v>
      </c>
      <c r="F92" s="15" t="s">
        <v>4</v>
      </c>
      <c r="G92" s="15" t="s">
        <v>4</v>
      </c>
      <c r="H92" s="15" t="s">
        <v>4</v>
      </c>
      <c r="I92" s="15" t="s">
        <v>4</v>
      </c>
      <c r="J92" s="15" t="s">
        <v>4</v>
      </c>
      <c r="K92" s="15" t="s">
        <v>4</v>
      </c>
      <c r="L92" s="15" t="s">
        <v>4</v>
      </c>
      <c r="M92" s="15" t="s">
        <v>4</v>
      </c>
      <c r="N92" s="15" t="s">
        <v>4</v>
      </c>
    </row>
    <row r="93" spans="1:15" x14ac:dyDescent="0.3">
      <c r="A93" s="42" t="str">
        <f>INDEX([2]Language!$D$6:$K$1231,318,'[2]Front Page'!$B$10)</f>
        <v>Monthly</v>
      </c>
      <c r="B93" s="140">
        <f t="shared" ref="B93:B96" si="7">SUM(C93:N93)</f>
        <v>3444906267.1977854</v>
      </c>
      <c r="C93" s="138">
        <v>939645172.97149646</v>
      </c>
      <c r="D93" s="85">
        <v>610632098.53509188</v>
      </c>
      <c r="E93" s="85">
        <v>762941365.05677748</v>
      </c>
      <c r="F93" s="85">
        <v>777946028.21193266</v>
      </c>
      <c r="G93" s="85">
        <v>316924336.70291412</v>
      </c>
      <c r="H93" s="85">
        <v>13386363.058421908</v>
      </c>
      <c r="I93" s="86">
        <v>9861639.3781248555</v>
      </c>
      <c r="J93" s="86">
        <v>2410321.6503854836</v>
      </c>
      <c r="K93" s="86">
        <v>0</v>
      </c>
      <c r="L93" s="86">
        <v>0</v>
      </c>
      <c r="M93" s="86"/>
      <c r="N93" s="87">
        <v>11158941.632640311</v>
      </c>
    </row>
    <row r="94" spans="1:15" x14ac:dyDescent="0.3">
      <c r="A94" s="42" t="str">
        <f>INDEX([2]Language!$D$6:$K$1231,319,'[2]Front Page'!$B$10)</f>
        <v>Quarterly / Semi-annually</v>
      </c>
      <c r="B94" s="88">
        <f t="shared" si="7"/>
        <v>15440499.858365854</v>
      </c>
      <c r="C94" s="89">
        <v>5539673.1893124776</v>
      </c>
      <c r="D94" s="90">
        <v>1130946.9405827571</v>
      </c>
      <c r="E94" s="90">
        <v>7028940.1053472348</v>
      </c>
      <c r="F94" s="90">
        <v>1740939.6231233845</v>
      </c>
      <c r="G94" s="90">
        <v>0</v>
      </c>
      <c r="H94" s="90">
        <v>0</v>
      </c>
      <c r="I94" s="91">
        <v>0</v>
      </c>
      <c r="J94" s="91">
        <v>0</v>
      </c>
      <c r="K94" s="91">
        <v>0</v>
      </c>
      <c r="L94" s="91">
        <v>0</v>
      </c>
      <c r="M94" s="91">
        <v>0</v>
      </c>
      <c r="N94" s="92">
        <v>0</v>
      </c>
    </row>
    <row r="95" spans="1:15" x14ac:dyDescent="0.3">
      <c r="A95" s="42" t="str">
        <f>INDEX([2]Language!$D$6:$K$1231,320,'[2]Front Page'!$B$10)</f>
        <v>Annually</v>
      </c>
      <c r="B95" s="88">
        <f t="shared" si="7"/>
        <v>2012634.943850836</v>
      </c>
      <c r="C95" s="89">
        <v>399201.65108690155</v>
      </c>
      <c r="D95" s="90">
        <v>1613433.2927639345</v>
      </c>
      <c r="E95" s="90">
        <v>0</v>
      </c>
      <c r="F95" s="90">
        <v>0</v>
      </c>
      <c r="G95" s="90">
        <v>0</v>
      </c>
      <c r="H95" s="90">
        <v>0</v>
      </c>
      <c r="I95" s="91">
        <v>0</v>
      </c>
      <c r="J95" s="91">
        <v>0</v>
      </c>
      <c r="K95" s="91">
        <v>0</v>
      </c>
      <c r="L95" s="91">
        <v>0</v>
      </c>
      <c r="M95" s="91">
        <v>0</v>
      </c>
      <c r="N95" s="92">
        <v>0</v>
      </c>
    </row>
    <row r="96" spans="1:15" ht="14" thickBot="1" x14ac:dyDescent="0.35">
      <c r="A96" s="43" t="str">
        <f>INDEX([2]Language!$D$6:$K$1231,321,'[2]Front Page'!$B$10)</f>
        <v>BULLET</v>
      </c>
      <c r="B96" s="148">
        <f t="shared" si="7"/>
        <v>0</v>
      </c>
      <c r="C96" s="89">
        <v>0</v>
      </c>
      <c r="D96" s="90">
        <v>0</v>
      </c>
      <c r="E96" s="90">
        <v>0</v>
      </c>
      <c r="F96" s="90">
        <v>0</v>
      </c>
      <c r="G96" s="90">
        <v>0</v>
      </c>
      <c r="H96" s="90">
        <v>0</v>
      </c>
      <c r="I96" s="91">
        <v>0</v>
      </c>
      <c r="J96" s="91">
        <v>0</v>
      </c>
      <c r="K96" s="91">
        <v>0</v>
      </c>
      <c r="L96" s="91">
        <v>0</v>
      </c>
      <c r="M96" s="91">
        <v>0</v>
      </c>
      <c r="N96" s="96">
        <v>0</v>
      </c>
    </row>
    <row r="97" spans="1:15" ht="14" thickTop="1" x14ac:dyDescent="0.3">
      <c r="A97" s="42" t="s">
        <v>1</v>
      </c>
      <c r="B97" s="139">
        <f t="shared" ref="B97:N97" si="8">SUM(B93:B96)</f>
        <v>3462359402.0000024</v>
      </c>
      <c r="C97" s="97">
        <f t="shared" si="8"/>
        <v>945584047.81189585</v>
      </c>
      <c r="D97" s="97">
        <f t="shared" si="8"/>
        <v>613376478.76843858</v>
      </c>
      <c r="E97" s="97">
        <f t="shared" si="8"/>
        <v>769970305.16212475</v>
      </c>
      <c r="F97" s="97">
        <f t="shared" si="8"/>
        <v>779686967.83505607</v>
      </c>
      <c r="G97" s="97">
        <f t="shared" si="8"/>
        <v>316924336.70291412</v>
      </c>
      <c r="H97" s="97">
        <f t="shared" si="8"/>
        <v>13386363.058421908</v>
      </c>
      <c r="I97" s="97">
        <f t="shared" si="8"/>
        <v>9861639.3781248555</v>
      </c>
      <c r="J97" s="97">
        <f t="shared" si="8"/>
        <v>2410321.6503854836</v>
      </c>
      <c r="K97" s="97">
        <f t="shared" si="8"/>
        <v>0</v>
      </c>
      <c r="L97" s="97">
        <f t="shared" si="8"/>
        <v>0</v>
      </c>
      <c r="M97" s="97">
        <f t="shared" si="8"/>
        <v>0</v>
      </c>
      <c r="N97" s="98">
        <f t="shared" si="8"/>
        <v>11158941.632640311</v>
      </c>
    </row>
    <row r="98" spans="1:15" x14ac:dyDescent="0.3">
      <c r="A98" s="26"/>
      <c r="B98" s="99"/>
      <c r="C98" s="99"/>
      <c r="D98" s="99"/>
      <c r="E98" s="99"/>
      <c r="F98" s="99"/>
      <c r="G98" s="99"/>
      <c r="H98" s="99"/>
      <c r="I98" s="99"/>
      <c r="J98" s="99"/>
      <c r="K98" s="99"/>
      <c r="L98" s="99"/>
      <c r="M98" s="99"/>
      <c r="N98" s="99"/>
    </row>
    <row r="100" spans="1:15" x14ac:dyDescent="0.3">
      <c r="A100" s="164" t="s">
        <v>91</v>
      </c>
      <c r="B100" s="164"/>
      <c r="C100" s="164"/>
      <c r="D100" s="164"/>
      <c r="E100" s="164"/>
      <c r="F100" s="164"/>
      <c r="G100" s="164"/>
      <c r="H100" s="164"/>
      <c r="I100" s="164"/>
      <c r="J100" s="164"/>
      <c r="K100" s="164"/>
      <c r="L100" s="164"/>
      <c r="M100" s="164"/>
      <c r="N100" s="164"/>
    </row>
    <row r="101" spans="1:15" x14ac:dyDescent="0.3">
      <c r="A101" s="113"/>
      <c r="B101" s="109" t="s">
        <v>1</v>
      </c>
      <c r="C101" s="110" t="s">
        <v>18</v>
      </c>
      <c r="D101" s="110" t="s">
        <v>19</v>
      </c>
      <c r="E101" s="111" t="s">
        <v>20</v>
      </c>
      <c r="F101" s="112" t="s">
        <v>21</v>
      </c>
      <c r="G101" s="159" t="s">
        <v>138</v>
      </c>
      <c r="H101" s="159" t="s">
        <v>139</v>
      </c>
      <c r="I101" s="112" t="s">
        <v>22</v>
      </c>
      <c r="J101" s="112" t="s">
        <v>23</v>
      </c>
      <c r="K101" s="112" t="s">
        <v>24</v>
      </c>
      <c r="L101" s="112" t="s">
        <v>25</v>
      </c>
      <c r="M101" s="112" t="s">
        <v>26</v>
      </c>
      <c r="N101" s="110" t="s">
        <v>27</v>
      </c>
    </row>
    <row r="102" spans="1:15" x14ac:dyDescent="0.3">
      <c r="A102" s="48"/>
      <c r="B102" s="11"/>
      <c r="C102" s="13"/>
      <c r="D102" s="13"/>
      <c r="E102" s="17"/>
      <c r="F102" s="13"/>
      <c r="G102" s="13"/>
      <c r="H102" s="13"/>
      <c r="I102" s="13"/>
      <c r="J102" s="13"/>
      <c r="K102" s="13"/>
      <c r="L102" s="13"/>
      <c r="M102" s="13"/>
      <c r="N102" s="13"/>
    </row>
    <row r="103" spans="1:15" ht="27" x14ac:dyDescent="0.3">
      <c r="A103" s="47"/>
      <c r="B103" s="25" t="s">
        <v>4</v>
      </c>
      <c r="C103" s="15" t="s">
        <v>4</v>
      </c>
      <c r="D103" s="15" t="s">
        <v>4</v>
      </c>
      <c r="E103" s="14" t="s">
        <v>4</v>
      </c>
      <c r="F103" s="15" t="s">
        <v>4</v>
      </c>
      <c r="G103" s="15" t="s">
        <v>4</v>
      </c>
      <c r="H103" s="15" t="s">
        <v>4</v>
      </c>
      <c r="I103" s="15" t="s">
        <v>4</v>
      </c>
      <c r="J103" s="15" t="s">
        <v>4</v>
      </c>
      <c r="K103" s="15" t="s">
        <v>4</v>
      </c>
      <c r="L103" s="15" t="s">
        <v>4</v>
      </c>
      <c r="M103" s="15" t="s">
        <v>4</v>
      </c>
      <c r="N103" s="15" t="s">
        <v>4</v>
      </c>
    </row>
    <row r="104" spans="1:15" x14ac:dyDescent="0.3">
      <c r="A104" s="42" t="s">
        <v>57</v>
      </c>
      <c r="B104" s="137">
        <v>3420407391.4247427</v>
      </c>
      <c r="C104" s="137">
        <v>937752377.25304806</v>
      </c>
      <c r="D104" s="137">
        <v>608296271.96780896</v>
      </c>
      <c r="E104" s="137">
        <v>763593131.41000879</v>
      </c>
      <c r="F104" s="137">
        <v>773229317.15319288</v>
      </c>
      <c r="G104" s="137">
        <v>314299454.22643602</v>
      </c>
      <c r="H104" s="137">
        <f>SUM(H86:H103)</f>
        <v>40159089.175265722</v>
      </c>
      <c r="I104" s="50">
        <v>9779961.6986437384</v>
      </c>
      <c r="J104" s="50">
        <v>2390358.4909494086</v>
      </c>
      <c r="K104" s="50"/>
      <c r="L104" s="50"/>
      <c r="M104" s="50"/>
      <c r="N104" s="50">
        <v>11066519.224653963</v>
      </c>
      <c r="O104" s="70"/>
    </row>
    <row r="105" spans="1:15" x14ac:dyDescent="0.3">
      <c r="A105" s="42" t="s">
        <v>67</v>
      </c>
      <c r="B105" s="100"/>
      <c r="C105" s="90"/>
      <c r="D105" s="90"/>
      <c r="E105" s="90"/>
      <c r="F105" s="90"/>
      <c r="G105" s="90"/>
      <c r="H105" s="90"/>
      <c r="I105" s="91"/>
      <c r="J105" s="91"/>
      <c r="K105" s="91"/>
      <c r="L105" s="91"/>
      <c r="M105" s="91"/>
      <c r="N105" s="91"/>
      <c r="O105" s="70"/>
    </row>
    <row r="106" spans="1:15" x14ac:dyDescent="0.3">
      <c r="A106" s="42" t="s">
        <v>68</v>
      </c>
      <c r="B106" s="100"/>
      <c r="C106" s="90"/>
      <c r="D106" s="90"/>
      <c r="E106" s="90"/>
      <c r="F106" s="90"/>
      <c r="G106" s="90"/>
      <c r="H106" s="90"/>
      <c r="I106" s="91"/>
      <c r="J106" s="91"/>
      <c r="K106" s="91"/>
      <c r="L106" s="91"/>
      <c r="M106" s="91"/>
      <c r="N106" s="91"/>
      <c r="O106" s="70"/>
    </row>
    <row r="107" spans="1:15" ht="14" thickBot="1" x14ac:dyDescent="0.35">
      <c r="A107" s="43" t="s">
        <v>69</v>
      </c>
      <c r="B107" s="93"/>
      <c r="C107" s="94"/>
      <c r="D107" s="94"/>
      <c r="E107" s="94"/>
      <c r="F107" s="94"/>
      <c r="G107" s="94"/>
      <c r="H107" s="94"/>
      <c r="I107" s="95"/>
      <c r="J107" s="95"/>
      <c r="K107" s="95"/>
      <c r="L107" s="95"/>
      <c r="M107" s="95"/>
      <c r="N107" s="95"/>
      <c r="O107" s="70"/>
    </row>
    <row r="108" spans="1:15" ht="14" thickTop="1" x14ac:dyDescent="0.3">
      <c r="A108" s="42" t="s">
        <v>1</v>
      </c>
      <c r="B108" s="97">
        <f>SUM(B104:B107)</f>
        <v>3420407391.4247427</v>
      </c>
      <c r="C108" s="97">
        <f>SUM(C104:C107)</f>
        <v>937752377.25304806</v>
      </c>
      <c r="D108" s="97">
        <f t="shared" ref="D108:N108" si="9">SUM(D104:D107)</f>
        <v>608296271.96780896</v>
      </c>
      <c r="E108" s="97">
        <f t="shared" si="9"/>
        <v>763593131.41000879</v>
      </c>
      <c r="F108" s="97">
        <f t="shared" si="9"/>
        <v>773229317.15319288</v>
      </c>
      <c r="G108" s="97">
        <f t="shared" si="9"/>
        <v>314299454.22643602</v>
      </c>
      <c r="H108" s="97">
        <f t="shared" si="9"/>
        <v>40159089.175265722</v>
      </c>
      <c r="I108" s="97">
        <f t="shared" si="9"/>
        <v>9779961.6986437384</v>
      </c>
      <c r="J108" s="97">
        <f t="shared" si="9"/>
        <v>2390358.4909494086</v>
      </c>
      <c r="K108" s="97">
        <f t="shared" si="9"/>
        <v>0</v>
      </c>
      <c r="L108" s="97">
        <f t="shared" si="9"/>
        <v>0</v>
      </c>
      <c r="M108" s="97">
        <f t="shared" si="9"/>
        <v>0</v>
      </c>
      <c r="N108" s="97">
        <f t="shared" si="9"/>
        <v>11066519.224653963</v>
      </c>
      <c r="O108" s="70"/>
    </row>
    <row r="109" spans="1:15" x14ac:dyDescent="0.3">
      <c r="A109" s="26"/>
      <c r="B109" s="99"/>
      <c r="C109" s="99"/>
      <c r="D109" s="99"/>
      <c r="E109" s="99"/>
      <c r="F109" s="99"/>
      <c r="G109" s="99"/>
      <c r="H109" s="99"/>
      <c r="I109" s="99"/>
      <c r="J109" s="99"/>
      <c r="K109" s="99"/>
      <c r="L109" s="99"/>
      <c r="M109" s="99"/>
      <c r="N109" s="99"/>
      <c r="O109" s="67"/>
    </row>
    <row r="111" spans="1:15" x14ac:dyDescent="0.3">
      <c r="A111" s="164" t="s">
        <v>70</v>
      </c>
      <c r="B111" s="164"/>
      <c r="C111" s="164"/>
      <c r="D111" s="164"/>
      <c r="E111" s="164"/>
      <c r="F111" s="164"/>
      <c r="G111" s="164"/>
      <c r="H111" s="164"/>
      <c r="I111" s="164"/>
    </row>
    <row r="112" spans="1:15" ht="40.5" x14ac:dyDescent="0.3">
      <c r="A112" s="109" t="s">
        <v>50</v>
      </c>
      <c r="B112" s="109" t="s">
        <v>51</v>
      </c>
      <c r="C112" s="149" t="s">
        <v>52</v>
      </c>
      <c r="D112" s="149" t="s">
        <v>59</v>
      </c>
      <c r="E112" s="149" t="s">
        <v>61</v>
      </c>
      <c r="F112" s="149" t="s">
        <v>53</v>
      </c>
      <c r="G112" s="150" t="s">
        <v>60</v>
      </c>
      <c r="H112" s="151" t="s">
        <v>54</v>
      </c>
      <c r="I112" s="150" t="s">
        <v>55</v>
      </c>
    </row>
    <row r="113" spans="1:9" x14ac:dyDescent="0.3">
      <c r="A113" s="41" t="s">
        <v>93</v>
      </c>
      <c r="B113" s="144" t="s">
        <v>3</v>
      </c>
      <c r="C113" s="86">
        <v>690000000</v>
      </c>
      <c r="D113" s="145" t="s">
        <v>101</v>
      </c>
      <c r="E113" s="145">
        <v>41818</v>
      </c>
      <c r="F113" s="146" t="s">
        <v>56</v>
      </c>
      <c r="G113" s="146" t="s">
        <v>108</v>
      </c>
      <c r="H113" s="145" t="s">
        <v>111</v>
      </c>
      <c r="I113" s="147">
        <v>1</v>
      </c>
    </row>
    <row r="114" spans="1:9" x14ac:dyDescent="0.3">
      <c r="A114" s="42" t="s">
        <v>92</v>
      </c>
      <c r="B114" s="70" t="s">
        <v>3</v>
      </c>
      <c r="C114" s="91">
        <v>850000000</v>
      </c>
      <c r="D114" s="142" t="s">
        <v>100</v>
      </c>
      <c r="E114" s="142">
        <v>42150</v>
      </c>
      <c r="F114" s="101" t="s">
        <v>56</v>
      </c>
      <c r="G114" s="101" t="s">
        <v>108</v>
      </c>
      <c r="H114" s="142" t="s">
        <v>110</v>
      </c>
      <c r="I114" s="143">
        <v>2</v>
      </c>
    </row>
    <row r="115" spans="1:9" x14ac:dyDescent="0.3">
      <c r="A115" s="42" t="s">
        <v>97</v>
      </c>
      <c r="B115" s="70" t="s">
        <v>3</v>
      </c>
      <c r="C115" s="91">
        <v>350000000</v>
      </c>
      <c r="D115" s="142" t="s">
        <v>105</v>
      </c>
      <c r="E115" s="142">
        <v>42479</v>
      </c>
      <c r="F115" s="101" t="s">
        <v>56</v>
      </c>
      <c r="G115" s="101" t="s">
        <v>108</v>
      </c>
      <c r="H115" s="142" t="s">
        <v>114</v>
      </c>
      <c r="I115" s="143">
        <v>3</v>
      </c>
    </row>
    <row r="116" spans="1:9" x14ac:dyDescent="0.3">
      <c r="A116" s="42" t="s">
        <v>98</v>
      </c>
      <c r="B116" s="70" t="s">
        <v>3</v>
      </c>
      <c r="C116" s="91">
        <v>200000000</v>
      </c>
      <c r="D116" s="142" t="s">
        <v>106</v>
      </c>
      <c r="E116" s="142">
        <v>41965</v>
      </c>
      <c r="F116" s="101" t="s">
        <v>58</v>
      </c>
      <c r="G116" s="101" t="s">
        <v>109</v>
      </c>
      <c r="H116" s="142" t="s">
        <v>115</v>
      </c>
      <c r="I116" s="143">
        <v>4</v>
      </c>
    </row>
    <row r="117" spans="1:9" x14ac:dyDescent="0.3">
      <c r="A117" s="42" t="s">
        <v>96</v>
      </c>
      <c r="B117" s="70" t="s">
        <v>3</v>
      </c>
      <c r="C117" s="91">
        <v>75000000</v>
      </c>
      <c r="D117" s="142" t="s">
        <v>104</v>
      </c>
      <c r="E117" s="142">
        <v>43173</v>
      </c>
      <c r="F117" s="101" t="s">
        <v>58</v>
      </c>
      <c r="G117" s="101" t="s">
        <v>109</v>
      </c>
      <c r="H117" s="142" t="s">
        <v>113</v>
      </c>
      <c r="I117" s="143">
        <v>5</v>
      </c>
    </row>
    <row r="118" spans="1:9" x14ac:dyDescent="0.3">
      <c r="A118" s="42" t="s">
        <v>99</v>
      </c>
      <c r="B118" s="70" t="s">
        <v>3</v>
      </c>
      <c r="C118" s="91">
        <v>300000000</v>
      </c>
      <c r="D118" s="142" t="s">
        <v>107</v>
      </c>
      <c r="E118" s="142">
        <v>42922</v>
      </c>
      <c r="F118" s="101" t="s">
        <v>56</v>
      </c>
      <c r="G118" s="101" t="s">
        <v>108</v>
      </c>
      <c r="H118" s="142" t="s">
        <v>116</v>
      </c>
      <c r="I118" s="143">
        <v>6</v>
      </c>
    </row>
    <row r="119" spans="1:9" x14ac:dyDescent="0.3">
      <c r="A119" s="42" t="s">
        <v>94</v>
      </c>
      <c r="B119" s="70" t="s">
        <v>3</v>
      </c>
      <c r="C119" s="91">
        <v>200000000</v>
      </c>
      <c r="D119" s="142" t="s">
        <v>102</v>
      </c>
      <c r="E119" s="142">
        <v>43357</v>
      </c>
      <c r="F119" s="101" t="s">
        <v>56</v>
      </c>
      <c r="G119" s="101" t="s">
        <v>108</v>
      </c>
      <c r="H119" s="142" t="s">
        <v>112</v>
      </c>
      <c r="I119" s="143">
        <v>7</v>
      </c>
    </row>
    <row r="120" spans="1:9" ht="14" thickBot="1" x14ac:dyDescent="0.35">
      <c r="A120" s="43" t="s">
        <v>95</v>
      </c>
      <c r="B120" s="169" t="s">
        <v>3</v>
      </c>
      <c r="C120" s="95">
        <v>300000000</v>
      </c>
      <c r="D120" s="170" t="s">
        <v>103</v>
      </c>
      <c r="E120" s="170">
        <v>42992</v>
      </c>
      <c r="F120" s="171" t="s">
        <v>56</v>
      </c>
      <c r="G120" s="171" t="s">
        <v>108</v>
      </c>
      <c r="H120" s="170" t="s">
        <v>112</v>
      </c>
      <c r="I120" s="172">
        <v>8</v>
      </c>
    </row>
    <row r="121" spans="1:9" s="67" customFormat="1" ht="14" thickTop="1" x14ac:dyDescent="0.3">
      <c r="A121" s="26"/>
      <c r="C121" s="104"/>
      <c r="D121" s="102"/>
      <c r="E121" s="102"/>
      <c r="F121" s="105"/>
      <c r="I121" s="102"/>
    </row>
    <row r="122" spans="1:9" s="67" customFormat="1" x14ac:dyDescent="0.3">
      <c r="A122" s="26"/>
      <c r="C122" s="104"/>
      <c r="D122" s="102"/>
      <c r="E122" s="102"/>
      <c r="F122" s="105"/>
      <c r="I122" s="102"/>
    </row>
    <row r="123" spans="1:9" s="67" customFormat="1" x14ac:dyDescent="0.3">
      <c r="A123" s="164" t="s">
        <v>118</v>
      </c>
      <c r="B123" s="164"/>
      <c r="C123" s="164"/>
      <c r="D123" s="164"/>
      <c r="E123" s="164"/>
      <c r="F123" s="164"/>
      <c r="I123" s="102"/>
    </row>
    <row r="124" spans="1:9" s="67" customFormat="1" x14ac:dyDescent="0.3">
      <c r="A124" s="136" t="s">
        <v>119</v>
      </c>
      <c r="B124" s="19" t="s">
        <v>50</v>
      </c>
      <c r="C124" s="19" t="s">
        <v>120</v>
      </c>
      <c r="D124" s="19" t="s">
        <v>51</v>
      </c>
      <c r="E124" s="63" t="s">
        <v>121</v>
      </c>
      <c r="F124" s="63" t="s">
        <v>122</v>
      </c>
      <c r="I124" s="102"/>
    </row>
    <row r="125" spans="1:9" s="67" customFormat="1" x14ac:dyDescent="0.3">
      <c r="A125" s="8" t="s">
        <v>123</v>
      </c>
      <c r="B125" s="125" t="s">
        <v>124</v>
      </c>
      <c r="C125" s="125" t="s">
        <v>125</v>
      </c>
      <c r="D125" s="125" t="s">
        <v>3</v>
      </c>
      <c r="E125" s="92">
        <v>27000000</v>
      </c>
      <c r="F125" s="64" t="s">
        <v>126</v>
      </c>
      <c r="I125" s="102"/>
    </row>
    <row r="126" spans="1:9" s="67" customFormat="1" x14ac:dyDescent="0.3">
      <c r="A126" s="7" t="s">
        <v>147</v>
      </c>
      <c r="B126" s="126" t="s">
        <v>127</v>
      </c>
      <c r="C126" s="126" t="s">
        <v>128</v>
      </c>
      <c r="D126" s="126" t="s">
        <v>3</v>
      </c>
      <c r="E126" s="92">
        <v>50000000</v>
      </c>
      <c r="F126" s="64" t="s">
        <v>129</v>
      </c>
      <c r="I126" s="102"/>
    </row>
    <row r="127" spans="1:9" s="67" customFormat="1" x14ac:dyDescent="0.3">
      <c r="A127" s="7" t="s">
        <v>133</v>
      </c>
      <c r="B127" s="126" t="s">
        <v>134</v>
      </c>
      <c r="C127" s="126" t="s">
        <v>128</v>
      </c>
      <c r="D127" s="126" t="s">
        <v>3</v>
      </c>
      <c r="E127" s="92">
        <v>25000000</v>
      </c>
      <c r="F127" s="64" t="s">
        <v>129</v>
      </c>
      <c r="I127" s="102"/>
    </row>
    <row r="128" spans="1:9" s="67" customFormat="1" x14ac:dyDescent="0.3">
      <c r="A128" s="7" t="s">
        <v>135</v>
      </c>
      <c r="B128" s="126" t="s">
        <v>136</v>
      </c>
      <c r="C128" s="126" t="s">
        <v>128</v>
      </c>
      <c r="D128" s="126" t="s">
        <v>3</v>
      </c>
      <c r="E128" s="92">
        <v>25000000</v>
      </c>
      <c r="F128" s="64" t="s">
        <v>129</v>
      </c>
      <c r="I128" s="102"/>
    </row>
    <row r="129" spans="1:11" s="67" customFormat="1" x14ac:dyDescent="0.3">
      <c r="A129" s="7" t="s">
        <v>137</v>
      </c>
      <c r="B129" s="127" t="s">
        <v>130</v>
      </c>
      <c r="C129" s="126" t="s">
        <v>128</v>
      </c>
      <c r="D129" s="127" t="s">
        <v>3</v>
      </c>
      <c r="E129" s="92">
        <v>25000000</v>
      </c>
      <c r="F129" s="64" t="s">
        <v>131</v>
      </c>
      <c r="I129" s="102"/>
    </row>
    <row r="130" spans="1:11" s="67" customFormat="1" ht="14" thickBot="1" x14ac:dyDescent="0.35">
      <c r="A130" s="3" t="s">
        <v>148</v>
      </c>
      <c r="B130" s="128" t="s">
        <v>146</v>
      </c>
      <c r="C130" s="165" t="s">
        <v>128</v>
      </c>
      <c r="D130" s="128" t="s">
        <v>3</v>
      </c>
      <c r="E130" s="96">
        <v>25000000</v>
      </c>
      <c r="F130" s="65" t="s">
        <v>129</v>
      </c>
      <c r="I130" s="102"/>
    </row>
    <row r="131" spans="1:11" s="67" customFormat="1" ht="14" thickTop="1" x14ac:dyDescent="0.3">
      <c r="A131" s="5" t="s">
        <v>1</v>
      </c>
      <c r="B131" s="166"/>
      <c r="C131" s="166"/>
      <c r="D131" s="166"/>
      <c r="E131" s="103">
        <f>SUM(E125:E130)</f>
        <v>177000000</v>
      </c>
      <c r="F131" s="167"/>
      <c r="I131" s="102"/>
    </row>
    <row r="132" spans="1:11" s="67" customFormat="1" x14ac:dyDescent="0.3">
      <c r="A132" s="26"/>
      <c r="C132" s="104"/>
      <c r="D132" s="102"/>
      <c r="E132" s="102"/>
      <c r="F132" s="105"/>
      <c r="I132" s="102"/>
    </row>
    <row r="133" spans="1:11" x14ac:dyDescent="0.3">
      <c r="A133" s="67"/>
      <c r="B133" s="67"/>
      <c r="C133" s="67"/>
      <c r="D133" s="67"/>
      <c r="E133" s="67"/>
      <c r="F133" s="67"/>
      <c r="G133" s="67"/>
      <c r="H133" s="67"/>
      <c r="I133" s="67"/>
      <c r="J133" s="67"/>
      <c r="K133" s="67"/>
    </row>
    <row r="134" spans="1:11" x14ac:dyDescent="0.3">
      <c r="A134" s="164" t="s">
        <v>132</v>
      </c>
      <c r="B134" s="164"/>
      <c r="C134" s="164"/>
      <c r="D134" s="164"/>
      <c r="E134" s="164"/>
    </row>
    <row r="155" spans="1:1" x14ac:dyDescent="0.3">
      <c r="A155" s="152" t="s">
        <v>117</v>
      </c>
    </row>
  </sheetData>
  <sortState xmlns:xlrd2="http://schemas.microsoft.com/office/spreadsheetml/2017/richdata2" ref="A134:J141">
    <sortCondition ref="J134:J141"/>
  </sortState>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176"/>
  <sheetViews>
    <sheetView topLeftCell="A134" workbookViewId="0">
      <selection activeCell="A152" sqref="A152"/>
    </sheetView>
  </sheetViews>
  <sheetFormatPr baseColWidth="10" defaultColWidth="11.453125" defaultRowHeight="13.5" x14ac:dyDescent="0.3"/>
  <cols>
    <col min="1" max="1" width="54" style="53" customWidth="1"/>
    <col min="2" max="2" width="24.54296875" style="53" bestFit="1" customWidth="1"/>
    <col min="3" max="3" width="23.81640625" style="53" customWidth="1"/>
    <col min="4" max="4" width="26.26953125" style="53" bestFit="1" customWidth="1"/>
    <col min="5" max="5" width="22.26953125" style="53" bestFit="1" customWidth="1"/>
    <col min="6" max="6" width="24.1796875" style="53" bestFit="1" customWidth="1"/>
    <col min="7" max="10" width="22.26953125" style="53" bestFit="1" customWidth="1"/>
    <col min="11" max="11" width="23.54296875" style="53" bestFit="1" customWidth="1"/>
    <col min="12" max="12" width="24.81640625" style="53" bestFit="1" customWidth="1"/>
    <col min="13" max="13" width="17.26953125" style="53" bestFit="1" customWidth="1"/>
    <col min="14" max="16384" width="11.453125" style="53"/>
  </cols>
  <sheetData>
    <row r="1" spans="1:7" ht="15" x14ac:dyDescent="0.3">
      <c r="A1" s="273" t="s">
        <v>85</v>
      </c>
      <c r="B1" s="270"/>
      <c r="C1" s="270"/>
      <c r="D1" s="270"/>
      <c r="E1" s="270"/>
    </row>
    <row r="2" spans="1:7" x14ac:dyDescent="0.3">
      <c r="A2" s="270" t="s">
        <v>0</v>
      </c>
      <c r="B2" s="272">
        <v>41182</v>
      </c>
      <c r="E2" s="270"/>
    </row>
    <row r="3" spans="1:7" x14ac:dyDescent="0.3">
      <c r="A3" s="270" t="s">
        <v>2</v>
      </c>
      <c r="B3" s="271" t="s">
        <v>3</v>
      </c>
      <c r="E3" s="270"/>
      <c r="G3" s="54"/>
    </row>
    <row r="4" spans="1:7" x14ac:dyDescent="0.3">
      <c r="A4" s="270"/>
      <c r="B4" s="270"/>
      <c r="C4" s="270"/>
      <c r="D4" s="270"/>
      <c r="E4" s="270"/>
      <c r="G4" s="55"/>
    </row>
    <row r="5" spans="1:7" x14ac:dyDescent="0.3">
      <c r="A5" s="258" t="s">
        <v>72</v>
      </c>
      <c r="B5" s="187"/>
      <c r="C5" s="257"/>
      <c r="D5" s="257"/>
      <c r="E5" s="257"/>
      <c r="F5" s="257"/>
      <c r="G5" s="55"/>
    </row>
    <row r="6" spans="1:7" ht="12.75" customHeight="1" x14ac:dyDescent="0.3">
      <c r="A6" s="256"/>
      <c r="B6" s="256" t="s">
        <v>1</v>
      </c>
      <c r="C6" s="259"/>
      <c r="D6" s="259"/>
      <c r="E6" s="255"/>
      <c r="F6" s="254"/>
      <c r="G6" s="254"/>
    </row>
    <row r="7" spans="1:7" x14ac:dyDescent="0.3">
      <c r="A7" s="265" t="s">
        <v>77</v>
      </c>
      <c r="B7" s="264">
        <v>3395741052.6099997</v>
      </c>
      <c r="C7" s="263"/>
      <c r="D7" s="268"/>
      <c r="E7" s="267"/>
      <c r="F7" s="266"/>
      <c r="G7" s="55"/>
    </row>
    <row r="8" spans="1:7" x14ac:dyDescent="0.3">
      <c r="A8" s="265" t="s">
        <v>78</v>
      </c>
      <c r="B8" s="264">
        <v>1133803.3564641068</v>
      </c>
      <c r="C8" s="263"/>
      <c r="D8" s="268"/>
      <c r="E8" s="267"/>
      <c r="F8" s="266"/>
      <c r="G8" s="55"/>
    </row>
    <row r="9" spans="1:7" x14ac:dyDescent="0.3">
      <c r="A9" s="265" t="s">
        <v>73</v>
      </c>
      <c r="B9" s="264">
        <v>2995</v>
      </c>
      <c r="C9" s="263"/>
      <c r="D9" s="268"/>
      <c r="E9" s="267"/>
      <c r="F9" s="266"/>
      <c r="G9" s="55"/>
    </row>
    <row r="10" spans="1:7" ht="13.5" customHeight="1" x14ac:dyDescent="0.3">
      <c r="A10" s="265" t="s">
        <v>79</v>
      </c>
      <c r="B10" s="265">
        <v>1.3823E-2</v>
      </c>
      <c r="C10" s="263"/>
      <c r="D10" s="268"/>
      <c r="E10" s="267"/>
      <c r="F10" s="266"/>
      <c r="G10" s="55"/>
    </row>
    <row r="11" spans="1:7" x14ac:dyDescent="0.3">
      <c r="A11" s="265" t="s">
        <v>74</v>
      </c>
      <c r="B11" s="264">
        <v>29</v>
      </c>
      <c r="C11" s="263"/>
      <c r="D11" s="268"/>
      <c r="E11" s="267"/>
      <c r="F11" s="266"/>
      <c r="G11" s="55"/>
    </row>
    <row r="12" spans="1:7" x14ac:dyDescent="0.3">
      <c r="A12" s="265" t="s">
        <v>81</v>
      </c>
      <c r="B12" s="264">
        <v>237</v>
      </c>
      <c r="C12" s="263"/>
      <c r="D12" s="268"/>
      <c r="E12" s="267"/>
      <c r="F12" s="266"/>
      <c r="G12" s="55"/>
    </row>
    <row r="13" spans="1:7" x14ac:dyDescent="0.3">
      <c r="A13" s="265" t="s">
        <v>75</v>
      </c>
      <c r="B13" s="264">
        <v>2995</v>
      </c>
      <c r="C13" s="263"/>
      <c r="D13" s="268"/>
      <c r="E13" s="267"/>
      <c r="F13" s="266"/>
      <c r="G13" s="55"/>
    </row>
    <row r="14" spans="1:7" x14ac:dyDescent="0.3">
      <c r="A14" s="265" t="s">
        <v>76</v>
      </c>
      <c r="B14" s="264">
        <v>3905</v>
      </c>
      <c r="C14" s="263"/>
      <c r="D14" s="268"/>
      <c r="E14" s="267"/>
      <c r="F14" s="266"/>
      <c r="G14" s="55"/>
    </row>
    <row r="15" spans="1:7" x14ac:dyDescent="0.3">
      <c r="A15" s="265" t="s">
        <v>82</v>
      </c>
      <c r="B15" s="265">
        <v>0.501</v>
      </c>
      <c r="C15" s="263"/>
      <c r="D15" s="268"/>
      <c r="E15" s="267"/>
      <c r="F15" s="266"/>
      <c r="G15" s="55"/>
    </row>
    <row r="16" spans="1:7" ht="13.5" customHeight="1" x14ac:dyDescent="0.3">
      <c r="A16" s="265" t="s">
        <v>149</v>
      </c>
      <c r="B16" s="265">
        <v>0.56499999999999995</v>
      </c>
      <c r="C16" s="263"/>
      <c r="D16" s="268"/>
      <c r="E16" s="267"/>
      <c r="F16" s="266"/>
      <c r="G16" s="55"/>
    </row>
    <row r="17" spans="1:7" x14ac:dyDescent="0.3">
      <c r="A17" s="265" t="s">
        <v>83</v>
      </c>
      <c r="B17" s="269">
        <v>1</v>
      </c>
      <c r="C17" s="263"/>
      <c r="D17" s="268"/>
      <c r="E17" s="267"/>
      <c r="F17" s="266"/>
      <c r="G17" s="55"/>
    </row>
    <row r="18" spans="1:7" x14ac:dyDescent="0.3">
      <c r="A18" s="265" t="s">
        <v>86</v>
      </c>
      <c r="B18" s="269">
        <v>1</v>
      </c>
      <c r="C18" s="263"/>
      <c r="D18" s="268"/>
      <c r="E18" s="267"/>
      <c r="F18" s="266"/>
      <c r="G18" s="55"/>
    </row>
    <row r="19" spans="1:7" x14ac:dyDescent="0.3">
      <c r="A19" s="265" t="s">
        <v>84</v>
      </c>
      <c r="B19" s="265">
        <v>0</v>
      </c>
      <c r="C19" s="263"/>
      <c r="D19" s="268"/>
      <c r="E19" s="267"/>
      <c r="F19" s="266"/>
      <c r="G19" s="55"/>
    </row>
    <row r="20" spans="1:7" x14ac:dyDescent="0.3">
      <c r="A20" s="265" t="s">
        <v>49</v>
      </c>
      <c r="B20" s="264">
        <v>234544000</v>
      </c>
      <c r="C20" s="263"/>
      <c r="D20" s="263"/>
      <c r="E20" s="55"/>
      <c r="F20" s="122"/>
      <c r="G20" s="54"/>
    </row>
    <row r="21" spans="1:7" x14ac:dyDescent="0.3">
      <c r="A21" s="262" t="s">
        <v>80</v>
      </c>
      <c r="B21" s="261">
        <f>B20+B7</f>
        <v>3630285052.6099997</v>
      </c>
      <c r="C21" s="259"/>
      <c r="D21" s="259"/>
      <c r="E21" s="61"/>
      <c r="F21" s="62"/>
      <c r="G21" s="54"/>
    </row>
    <row r="22" spans="1:7" s="54" customFormat="1" x14ac:dyDescent="0.3">
      <c r="A22" s="259"/>
      <c r="B22" s="260"/>
      <c r="C22" s="259"/>
      <c r="D22" s="259"/>
      <c r="E22" s="61"/>
      <c r="F22" s="62"/>
    </row>
    <row r="24" spans="1:7" x14ac:dyDescent="0.3">
      <c r="A24" s="258" t="s">
        <v>71</v>
      </c>
      <c r="B24" s="187"/>
      <c r="C24" s="258"/>
      <c r="D24" s="187"/>
      <c r="E24" s="257"/>
      <c r="F24" s="257"/>
    </row>
    <row r="25" spans="1:7" x14ac:dyDescent="0.3">
      <c r="A25" s="256"/>
      <c r="B25" s="256"/>
      <c r="C25" s="256"/>
      <c r="D25" s="256"/>
      <c r="E25" s="255"/>
      <c r="F25" s="254"/>
    </row>
    <row r="26" spans="1:7" x14ac:dyDescent="0.3">
      <c r="A26" s="176"/>
      <c r="B26" s="55"/>
      <c r="C26" s="55"/>
      <c r="D26" s="55"/>
      <c r="E26" s="55"/>
      <c r="F26" s="55"/>
    </row>
    <row r="27" spans="1:7" x14ac:dyDescent="0.3">
      <c r="A27" s="177" t="s">
        <v>150</v>
      </c>
      <c r="B27" s="178"/>
      <c r="C27" s="178"/>
      <c r="D27" s="54"/>
      <c r="E27" s="54"/>
      <c r="F27" s="54"/>
    </row>
    <row r="28" spans="1:7" x14ac:dyDescent="0.3">
      <c r="A28" s="179"/>
      <c r="B28" s="180"/>
      <c r="C28" s="180"/>
    </row>
    <row r="29" spans="1:7" x14ac:dyDescent="0.3">
      <c r="A29" s="136" t="s">
        <v>151</v>
      </c>
      <c r="B29" s="19" t="s">
        <v>4</v>
      </c>
      <c r="C29" s="181" t="s">
        <v>5</v>
      </c>
      <c r="D29" s="63" t="s">
        <v>17</v>
      </c>
    </row>
    <row r="30" spans="1:7" x14ac:dyDescent="0.3">
      <c r="A30" s="8" t="s">
        <v>6</v>
      </c>
      <c r="B30" s="200">
        <v>668516509.58000004</v>
      </c>
      <c r="C30" s="200">
        <v>993</v>
      </c>
      <c r="D30" s="196">
        <f t="shared" ref="D30:D41" si="0">B30/$B$41</f>
        <v>0.19686910727959411</v>
      </c>
    </row>
    <row r="31" spans="1:7" x14ac:dyDescent="0.3">
      <c r="A31" s="7" t="s">
        <v>7</v>
      </c>
      <c r="B31" s="199">
        <v>433379483.69999993</v>
      </c>
      <c r="C31" s="199">
        <v>388</v>
      </c>
      <c r="D31" s="196">
        <f t="shared" si="0"/>
        <v>0.12762442040947147</v>
      </c>
    </row>
    <row r="32" spans="1:7" x14ac:dyDescent="0.3">
      <c r="A32" s="7" t="s">
        <v>8</v>
      </c>
      <c r="B32" s="199">
        <v>602129623.23000014</v>
      </c>
      <c r="C32" s="199">
        <v>476</v>
      </c>
      <c r="D32" s="196">
        <f t="shared" si="0"/>
        <v>0.17731906346839882</v>
      </c>
    </row>
    <row r="33" spans="1:10" x14ac:dyDescent="0.3">
      <c r="A33" s="7" t="s">
        <v>9</v>
      </c>
      <c r="B33" s="199">
        <v>747275850.8900001</v>
      </c>
      <c r="C33" s="199">
        <v>524</v>
      </c>
      <c r="D33" s="196">
        <f t="shared" si="0"/>
        <v>0.22006267242186692</v>
      </c>
    </row>
    <row r="34" spans="1:10" x14ac:dyDescent="0.3">
      <c r="A34" s="7" t="s">
        <v>152</v>
      </c>
      <c r="B34" s="198">
        <v>700523613.2299999</v>
      </c>
      <c r="C34" s="198">
        <v>423</v>
      </c>
      <c r="D34" s="196">
        <f t="shared" si="0"/>
        <v>0.20629476817484962</v>
      </c>
    </row>
    <row r="35" spans="1:10" x14ac:dyDescent="0.3">
      <c r="A35" s="7" t="s">
        <v>10</v>
      </c>
      <c r="B35" s="198">
        <v>63338915.909999989</v>
      </c>
      <c r="C35" s="198">
        <v>43</v>
      </c>
      <c r="D35" s="196">
        <f t="shared" si="0"/>
        <v>1.8652457572204177E-2</v>
      </c>
    </row>
    <row r="36" spans="1:10" x14ac:dyDescent="0.3">
      <c r="A36" s="7" t="s">
        <v>11</v>
      </c>
      <c r="B36" s="198">
        <v>38160801.010000005</v>
      </c>
      <c r="C36" s="198">
        <v>27</v>
      </c>
      <c r="D36" s="196">
        <f t="shared" si="0"/>
        <v>1.1237841878628887E-2</v>
      </c>
    </row>
    <row r="37" spans="1:10" x14ac:dyDescent="0.3">
      <c r="A37" s="7" t="s">
        <v>12</v>
      </c>
      <c r="B37" s="198">
        <v>25385032.579999998</v>
      </c>
      <c r="C37" s="198">
        <v>14</v>
      </c>
      <c r="D37" s="196">
        <f t="shared" si="0"/>
        <v>7.4755501631930408E-3</v>
      </c>
    </row>
    <row r="38" spans="1:10" x14ac:dyDescent="0.3">
      <c r="A38" s="7" t="s">
        <v>13</v>
      </c>
      <c r="B38" s="198">
        <v>10946395.169999998</v>
      </c>
      <c r="C38" s="198">
        <v>8</v>
      </c>
      <c r="D38" s="196">
        <f t="shared" si="0"/>
        <v>3.2235659316797696E-3</v>
      </c>
    </row>
    <row r="39" spans="1:10" x14ac:dyDescent="0.3">
      <c r="A39" s="7" t="s">
        <v>14</v>
      </c>
      <c r="B39" s="198">
        <v>106084827.30999999</v>
      </c>
      <c r="C39" s="198">
        <v>99</v>
      </c>
      <c r="D39" s="196">
        <f t="shared" si="0"/>
        <v>3.1240552700113021E-2</v>
      </c>
    </row>
    <row r="40" spans="1:10" ht="14" thickBot="1" x14ac:dyDescent="0.35">
      <c r="A40" s="3" t="s">
        <v>15</v>
      </c>
      <c r="B40" s="194"/>
      <c r="C40" s="194"/>
      <c r="D40" s="192">
        <f t="shared" si="0"/>
        <v>0</v>
      </c>
    </row>
    <row r="41" spans="1:10" ht="14" thickTop="1" x14ac:dyDescent="0.3">
      <c r="A41" s="5" t="s">
        <v>1</v>
      </c>
      <c r="B41" s="253">
        <f>SUM(B30:B40)</f>
        <v>3395741052.6100006</v>
      </c>
      <c r="C41" s="253">
        <f>SUM(C30:C40)</f>
        <v>2995</v>
      </c>
      <c r="D41" s="243">
        <f t="shared" si="0"/>
        <v>1</v>
      </c>
      <c r="J41" s="252"/>
    </row>
    <row r="42" spans="1:10" x14ac:dyDescent="0.3">
      <c r="A42" s="182"/>
      <c r="B42" s="183"/>
      <c r="C42" s="183"/>
      <c r="J42" s="251"/>
    </row>
    <row r="43" spans="1:10" x14ac:dyDescent="0.3">
      <c r="A43" s="177" t="s">
        <v>153</v>
      </c>
      <c r="B43" s="184"/>
      <c r="C43" s="184"/>
      <c r="D43" s="185"/>
      <c r="E43" s="185"/>
      <c r="F43" s="185"/>
    </row>
    <row r="44" spans="1:10" x14ac:dyDescent="0.3">
      <c r="A44" s="186"/>
      <c r="B44" s="186"/>
      <c r="C44" s="186"/>
    </row>
    <row r="45" spans="1:10" x14ac:dyDescent="0.3">
      <c r="A45" s="9" t="s">
        <v>16</v>
      </c>
      <c r="B45" s="10" t="s">
        <v>4</v>
      </c>
      <c r="C45" s="10" t="s">
        <v>5</v>
      </c>
      <c r="D45" s="63" t="s">
        <v>17</v>
      </c>
    </row>
    <row r="46" spans="1:10" x14ac:dyDescent="0.3">
      <c r="A46" s="6" t="s">
        <v>6</v>
      </c>
      <c r="B46" s="199">
        <v>937250008.65999961</v>
      </c>
      <c r="C46" s="250">
        <v>1308</v>
      </c>
      <c r="D46" s="196">
        <f t="shared" ref="D46:D57" si="1">B46/$B$57</f>
        <v>0.27600750296893817</v>
      </c>
    </row>
    <row r="47" spans="1:10" x14ac:dyDescent="0.3">
      <c r="A47" s="6" t="s">
        <v>7</v>
      </c>
      <c r="B47" s="199">
        <v>602311266.98000014</v>
      </c>
      <c r="C47" s="250">
        <v>495</v>
      </c>
      <c r="D47" s="196">
        <f t="shared" si="1"/>
        <v>0.1773725551060667</v>
      </c>
    </row>
    <row r="48" spans="1:10" x14ac:dyDescent="0.3">
      <c r="A48" s="6" t="s">
        <v>8</v>
      </c>
      <c r="B48" s="199">
        <v>732572083.51000023</v>
      </c>
      <c r="C48" s="250">
        <v>523</v>
      </c>
      <c r="D48" s="196">
        <f t="shared" si="1"/>
        <v>0.21573261098543958</v>
      </c>
    </row>
    <row r="49" spans="1:13" x14ac:dyDescent="0.3">
      <c r="A49" s="6" t="s">
        <v>9</v>
      </c>
      <c r="B49" s="199">
        <v>788930857.63999951</v>
      </c>
      <c r="C49" s="250">
        <v>485</v>
      </c>
      <c r="D49" s="196">
        <f t="shared" si="1"/>
        <v>0.23232951082463121</v>
      </c>
    </row>
    <row r="50" spans="1:13" x14ac:dyDescent="0.3">
      <c r="A50" s="6" t="s">
        <v>152</v>
      </c>
      <c r="B50" s="199">
        <v>307300779.18999994</v>
      </c>
      <c r="C50" s="250">
        <v>168</v>
      </c>
      <c r="D50" s="196">
        <f t="shared" si="1"/>
        <v>9.0495940187725901E-2</v>
      </c>
    </row>
    <row r="51" spans="1:13" x14ac:dyDescent="0.3">
      <c r="A51" s="6" t="s">
        <v>10</v>
      </c>
      <c r="B51" s="199">
        <v>12342762.619999999</v>
      </c>
      <c r="C51" s="250">
        <v>7</v>
      </c>
      <c r="D51" s="196">
        <f t="shared" si="1"/>
        <v>3.6347773368977094E-3</v>
      </c>
    </row>
    <row r="52" spans="1:13" x14ac:dyDescent="0.3">
      <c r="A52" s="6" t="s">
        <v>11</v>
      </c>
      <c r="B52" s="249">
        <v>9305497.0500000007</v>
      </c>
      <c r="C52" s="248">
        <v>5</v>
      </c>
      <c r="D52" s="196">
        <f t="shared" si="1"/>
        <v>2.7403435379289905E-3</v>
      </c>
    </row>
    <row r="53" spans="1:13" x14ac:dyDescent="0.3">
      <c r="A53" s="6" t="s">
        <v>12</v>
      </c>
      <c r="B53" s="247">
        <v>4333493.96</v>
      </c>
      <c r="C53" s="246">
        <v>2</v>
      </c>
      <c r="D53" s="196">
        <f t="shared" si="1"/>
        <v>1.2761555998709721E-3</v>
      </c>
    </row>
    <row r="54" spans="1:13" x14ac:dyDescent="0.3">
      <c r="A54" s="6" t="s">
        <v>13</v>
      </c>
      <c r="B54" s="247"/>
      <c r="C54" s="246"/>
      <c r="D54" s="196">
        <f t="shared" si="1"/>
        <v>0</v>
      </c>
    </row>
    <row r="55" spans="1:13" x14ac:dyDescent="0.3">
      <c r="A55" s="6" t="s">
        <v>14</v>
      </c>
      <c r="B55" s="247"/>
      <c r="C55" s="246"/>
      <c r="D55" s="196">
        <f t="shared" si="1"/>
        <v>0</v>
      </c>
    </row>
    <row r="56" spans="1:13" ht="14" thickBot="1" x14ac:dyDescent="0.35">
      <c r="A56" s="4" t="s">
        <v>15</v>
      </c>
      <c r="B56" s="245">
        <v>1394303</v>
      </c>
      <c r="C56" s="245">
        <v>2</v>
      </c>
      <c r="D56" s="192">
        <f t="shared" si="1"/>
        <v>4.1060345250069203E-4</v>
      </c>
    </row>
    <row r="57" spans="1:13" ht="14" thickTop="1" x14ac:dyDescent="0.3">
      <c r="A57" s="1" t="s">
        <v>1</v>
      </c>
      <c r="B57" s="18">
        <f>SUM(B46:B56)</f>
        <v>3395741052.6099997</v>
      </c>
      <c r="C57" s="244">
        <f>SUM(C46:C56)</f>
        <v>2995</v>
      </c>
      <c r="D57" s="243">
        <f t="shared" si="1"/>
        <v>1</v>
      </c>
    </row>
    <row r="60" spans="1:13" x14ac:dyDescent="0.3">
      <c r="A60" s="187" t="s">
        <v>87</v>
      </c>
      <c r="B60" s="187"/>
      <c r="C60" s="187"/>
      <c r="D60" s="187"/>
      <c r="E60" s="187"/>
      <c r="F60" s="187"/>
      <c r="G60" s="187"/>
      <c r="H60" s="187"/>
      <c r="I60" s="187"/>
      <c r="J60" s="187"/>
      <c r="K60" s="187"/>
      <c r="L60" s="187"/>
      <c r="M60" s="187"/>
    </row>
    <row r="61" spans="1:13" s="68" customFormat="1" x14ac:dyDescent="0.3">
      <c r="A61" s="107"/>
      <c r="B61" s="155" t="s">
        <v>1</v>
      </c>
      <c r="C61" s="156" t="s">
        <v>18</v>
      </c>
      <c r="D61" s="156" t="s">
        <v>19</v>
      </c>
      <c r="E61" s="157" t="s">
        <v>20</v>
      </c>
      <c r="F61" s="158" t="s">
        <v>21</v>
      </c>
      <c r="G61" s="159" t="s">
        <v>154</v>
      </c>
      <c r="H61" s="159" t="s">
        <v>22</v>
      </c>
      <c r="I61" s="159" t="s">
        <v>23</v>
      </c>
      <c r="J61" s="159" t="s">
        <v>24</v>
      </c>
      <c r="K61" s="159" t="s">
        <v>25</v>
      </c>
      <c r="L61" s="159" t="s">
        <v>26</v>
      </c>
      <c r="M61" s="160" t="s">
        <v>27</v>
      </c>
    </row>
    <row r="62" spans="1:13" x14ac:dyDescent="0.3">
      <c r="A62" s="153" t="s">
        <v>28</v>
      </c>
      <c r="B62" s="242">
        <v>111290107.06</v>
      </c>
      <c r="C62" s="242">
        <v>34969733.019999996</v>
      </c>
      <c r="D62" s="242">
        <v>26292869.5</v>
      </c>
      <c r="E62" s="242">
        <v>33015488.539999999</v>
      </c>
      <c r="F62" s="242">
        <v>12364628</v>
      </c>
      <c r="G62" s="242">
        <v>4647388</v>
      </c>
      <c r="H62" s="242">
        <v>0</v>
      </c>
      <c r="I62" s="242">
        <v>0</v>
      </c>
      <c r="J62" s="242">
        <v>0</v>
      </c>
      <c r="K62" s="242">
        <v>0</v>
      </c>
      <c r="L62" s="242">
        <v>0</v>
      </c>
      <c r="M62" s="242">
        <v>0</v>
      </c>
    </row>
    <row r="63" spans="1:13" x14ac:dyDescent="0.3">
      <c r="A63" s="154" t="s">
        <v>29</v>
      </c>
      <c r="B63" s="241">
        <v>158478386.75999999</v>
      </c>
      <c r="C63" s="241">
        <v>32627223.879999999</v>
      </c>
      <c r="D63" s="241">
        <v>36480114.700000003</v>
      </c>
      <c r="E63" s="241">
        <v>30331378.18</v>
      </c>
      <c r="F63" s="241">
        <v>43463841</v>
      </c>
      <c r="G63" s="241">
        <v>13484176</v>
      </c>
      <c r="H63" s="241">
        <v>2091653</v>
      </c>
      <c r="I63" s="241">
        <v>0</v>
      </c>
      <c r="J63" s="241">
        <v>0</v>
      </c>
      <c r="K63" s="241">
        <v>0</v>
      </c>
      <c r="L63" s="241">
        <v>0</v>
      </c>
      <c r="M63" s="241">
        <v>0</v>
      </c>
    </row>
    <row r="64" spans="1:13" x14ac:dyDescent="0.3">
      <c r="A64" s="154" t="s">
        <v>30</v>
      </c>
      <c r="B64" s="241">
        <v>16036167</v>
      </c>
      <c r="C64" s="241">
        <v>5521426</v>
      </c>
      <c r="D64" s="241">
        <v>0</v>
      </c>
      <c r="E64" s="241">
        <v>3065719</v>
      </c>
      <c r="F64" s="241">
        <v>6180850</v>
      </c>
      <c r="G64" s="241">
        <v>1268172</v>
      </c>
      <c r="H64" s="241">
        <v>0</v>
      </c>
      <c r="I64" s="241">
        <v>0</v>
      </c>
      <c r="J64" s="241">
        <v>0</v>
      </c>
      <c r="K64" s="241">
        <v>0</v>
      </c>
      <c r="L64" s="241">
        <v>0</v>
      </c>
      <c r="M64" s="241">
        <v>0</v>
      </c>
    </row>
    <row r="65" spans="1:13" x14ac:dyDescent="0.3">
      <c r="A65" s="154" t="s">
        <v>155</v>
      </c>
      <c r="B65" s="241">
        <v>0</v>
      </c>
      <c r="C65" s="241">
        <v>0</v>
      </c>
      <c r="D65" s="241">
        <v>0</v>
      </c>
      <c r="E65" s="241">
        <v>0</v>
      </c>
      <c r="F65" s="241">
        <v>0</v>
      </c>
      <c r="G65" s="241">
        <v>0</v>
      </c>
      <c r="H65" s="241">
        <v>0</v>
      </c>
      <c r="I65" s="241">
        <v>0</v>
      </c>
      <c r="J65" s="241">
        <v>0</v>
      </c>
      <c r="K65" s="241">
        <v>0</v>
      </c>
      <c r="L65" s="241">
        <v>0</v>
      </c>
      <c r="M65" s="241">
        <v>0</v>
      </c>
    </row>
    <row r="66" spans="1:13" x14ac:dyDescent="0.3">
      <c r="A66" s="154" t="s">
        <v>31</v>
      </c>
      <c r="B66" s="241">
        <v>0</v>
      </c>
      <c r="C66" s="241">
        <v>0</v>
      </c>
      <c r="D66" s="241">
        <v>0</v>
      </c>
      <c r="E66" s="241">
        <v>0</v>
      </c>
      <c r="F66" s="241">
        <v>0</v>
      </c>
      <c r="G66" s="241">
        <v>0</v>
      </c>
      <c r="H66" s="241">
        <v>0</v>
      </c>
      <c r="I66" s="241">
        <v>0</v>
      </c>
      <c r="J66" s="241">
        <v>0</v>
      </c>
      <c r="K66" s="241">
        <v>0</v>
      </c>
      <c r="L66" s="241">
        <v>0</v>
      </c>
      <c r="M66" s="241">
        <v>0</v>
      </c>
    </row>
    <row r="67" spans="1:13" x14ac:dyDescent="0.3">
      <c r="A67" s="154" t="s">
        <v>32</v>
      </c>
      <c r="B67" s="241">
        <v>264503348.60000002</v>
      </c>
      <c r="C67" s="241">
        <v>68858904.150000006</v>
      </c>
      <c r="D67" s="241">
        <v>37323128.990000002</v>
      </c>
      <c r="E67" s="241">
        <v>57107611.039999999</v>
      </c>
      <c r="F67" s="241">
        <v>66751772.930000007</v>
      </c>
      <c r="G67" s="241">
        <v>28879291.440000001</v>
      </c>
      <c r="H67" s="241">
        <v>0</v>
      </c>
      <c r="I67" s="241">
        <v>4188337.05</v>
      </c>
      <c r="J67" s="241">
        <v>0</v>
      </c>
      <c r="K67" s="241">
        <v>0</v>
      </c>
      <c r="L67" s="241"/>
      <c r="M67" s="241">
        <v>1394303</v>
      </c>
    </row>
    <row r="68" spans="1:13" x14ac:dyDescent="0.3">
      <c r="A68" s="154" t="s">
        <v>156</v>
      </c>
      <c r="B68" s="241">
        <v>6790814.4800000004</v>
      </c>
      <c r="C68" s="241">
        <v>1340711</v>
      </c>
      <c r="D68" s="241">
        <v>784779</v>
      </c>
      <c r="E68" s="241">
        <v>1540524</v>
      </c>
      <c r="F68" s="241">
        <v>3124800.48</v>
      </c>
      <c r="G68" s="241">
        <v>0</v>
      </c>
      <c r="H68" s="241">
        <v>0</v>
      </c>
      <c r="I68" s="241">
        <v>0</v>
      </c>
      <c r="J68" s="241">
        <v>0</v>
      </c>
      <c r="K68" s="241">
        <v>0</v>
      </c>
      <c r="L68" s="241">
        <v>0</v>
      </c>
      <c r="M68" s="241">
        <v>0</v>
      </c>
    </row>
    <row r="69" spans="1:13" x14ac:dyDescent="0.3">
      <c r="A69" s="154" t="s">
        <v>33</v>
      </c>
      <c r="B69" s="241">
        <v>335893.19</v>
      </c>
      <c r="C69" s="241">
        <v>335893.19</v>
      </c>
      <c r="D69" s="241">
        <v>0</v>
      </c>
      <c r="E69" s="241">
        <v>0</v>
      </c>
      <c r="F69" s="241">
        <v>0</v>
      </c>
      <c r="G69" s="241">
        <v>0</v>
      </c>
      <c r="H69" s="241">
        <v>0</v>
      </c>
      <c r="I69" s="241">
        <v>0</v>
      </c>
      <c r="J69" s="241">
        <v>0</v>
      </c>
      <c r="K69" s="241">
        <v>0</v>
      </c>
      <c r="L69" s="241">
        <v>0</v>
      </c>
      <c r="M69" s="241">
        <v>0</v>
      </c>
    </row>
    <row r="70" spans="1:13" x14ac:dyDescent="0.3">
      <c r="A70" s="154" t="s">
        <v>157</v>
      </c>
      <c r="B70" s="241"/>
      <c r="C70" s="241"/>
      <c r="D70" s="241"/>
      <c r="E70" s="241"/>
      <c r="F70" s="241"/>
      <c r="G70" s="241"/>
      <c r="H70" s="241"/>
      <c r="I70" s="241"/>
      <c r="J70" s="241"/>
      <c r="K70" s="241">
        <v>0</v>
      </c>
      <c r="L70" s="241"/>
      <c r="M70" s="241">
        <v>0</v>
      </c>
    </row>
    <row r="71" spans="1:13" x14ac:dyDescent="0.3">
      <c r="A71" s="154" t="s">
        <v>34</v>
      </c>
      <c r="B71" s="241">
        <v>8101899</v>
      </c>
      <c r="C71" s="241">
        <v>2705560</v>
      </c>
      <c r="D71" s="241">
        <v>1429992</v>
      </c>
      <c r="E71" s="241">
        <v>0</v>
      </c>
      <c r="F71" s="241">
        <v>2316347</v>
      </c>
      <c r="G71" s="241">
        <v>1650000</v>
      </c>
      <c r="H71" s="241">
        <v>0</v>
      </c>
      <c r="I71" s="241">
        <v>0</v>
      </c>
      <c r="J71" s="241">
        <v>0</v>
      </c>
      <c r="K71" s="241">
        <v>0</v>
      </c>
      <c r="L71" s="241">
        <v>0</v>
      </c>
      <c r="M71" s="241">
        <v>0</v>
      </c>
    </row>
    <row r="72" spans="1:13" x14ac:dyDescent="0.3">
      <c r="A72" s="154" t="s">
        <v>35</v>
      </c>
      <c r="B72" s="241">
        <v>141284289.09</v>
      </c>
      <c r="C72" s="241">
        <v>35902835.129999995</v>
      </c>
      <c r="D72" s="241">
        <v>32135781.02</v>
      </c>
      <c r="E72" s="241">
        <v>35580923.020000003</v>
      </c>
      <c r="F72" s="241">
        <v>26732408.920000002</v>
      </c>
      <c r="G72" s="241">
        <v>10932341</v>
      </c>
      <c r="H72" s="241">
        <v>0</v>
      </c>
      <c r="I72" s="241">
        <v>0</v>
      </c>
      <c r="J72" s="241">
        <v>0</v>
      </c>
      <c r="K72" s="241">
        <v>0</v>
      </c>
      <c r="L72" s="241">
        <v>0</v>
      </c>
      <c r="M72" s="241">
        <v>0</v>
      </c>
    </row>
    <row r="73" spans="1:13" x14ac:dyDescent="0.3">
      <c r="A73" s="154" t="s">
        <v>158</v>
      </c>
      <c r="B73" s="241">
        <v>13043966.609999999</v>
      </c>
      <c r="C73" s="241">
        <v>575842.61</v>
      </c>
      <c r="D73" s="241">
        <v>0</v>
      </c>
      <c r="E73" s="241">
        <v>4982771</v>
      </c>
      <c r="F73" s="241">
        <v>1721779</v>
      </c>
      <c r="G73" s="241">
        <v>5763574</v>
      </c>
      <c r="H73" s="241">
        <v>0</v>
      </c>
      <c r="I73" s="241">
        <v>0</v>
      </c>
      <c r="J73" s="241">
        <v>0</v>
      </c>
      <c r="K73" s="241"/>
      <c r="L73" s="241">
        <v>0</v>
      </c>
      <c r="M73" s="241">
        <v>0</v>
      </c>
    </row>
    <row r="74" spans="1:13" x14ac:dyDescent="0.3">
      <c r="A74" s="154" t="s">
        <v>36</v>
      </c>
      <c r="B74" s="241">
        <v>1491170782.5300002</v>
      </c>
      <c r="C74" s="241">
        <v>418924336.71000004</v>
      </c>
      <c r="D74" s="241">
        <v>278357536.18000001</v>
      </c>
      <c r="E74" s="241">
        <v>329850928.52999991</v>
      </c>
      <c r="F74" s="241">
        <v>350518602.91000015</v>
      </c>
      <c r="G74" s="241">
        <v>96489624.620000005</v>
      </c>
      <c r="H74" s="241">
        <v>8976109.6199999992</v>
      </c>
      <c r="I74" s="241">
        <v>3720150</v>
      </c>
      <c r="J74" s="241">
        <v>4333493.96</v>
      </c>
      <c r="K74" s="241">
        <v>0</v>
      </c>
      <c r="L74" s="241">
        <v>0</v>
      </c>
      <c r="M74" s="241">
        <v>0</v>
      </c>
    </row>
    <row r="75" spans="1:13" x14ac:dyDescent="0.3">
      <c r="A75" s="154" t="s">
        <v>37</v>
      </c>
      <c r="B75" s="241">
        <v>91981039.069999993</v>
      </c>
      <c r="C75" s="241">
        <v>22815238.84</v>
      </c>
      <c r="D75" s="241">
        <v>18330448.490000002</v>
      </c>
      <c r="E75" s="241">
        <v>20963962.460000001</v>
      </c>
      <c r="F75" s="241">
        <v>15420080</v>
      </c>
      <c r="G75" s="241">
        <v>14451309.280000001</v>
      </c>
      <c r="H75" s="241">
        <v>0</v>
      </c>
      <c r="I75" s="241">
        <v>0</v>
      </c>
      <c r="J75" s="241">
        <v>0</v>
      </c>
      <c r="K75" s="241">
        <v>0</v>
      </c>
      <c r="L75" s="241">
        <v>0</v>
      </c>
      <c r="M75" s="241">
        <v>0</v>
      </c>
    </row>
    <row r="76" spans="1:13" x14ac:dyDescent="0.3">
      <c r="A76" s="154" t="s">
        <v>159</v>
      </c>
      <c r="B76" s="241">
        <v>3677860</v>
      </c>
      <c r="C76" s="241">
        <v>247688</v>
      </c>
      <c r="D76" s="241">
        <v>1504828</v>
      </c>
      <c r="E76" s="241">
        <v>0</v>
      </c>
      <c r="F76" s="241">
        <v>0</v>
      </c>
      <c r="G76" s="241">
        <v>1925344</v>
      </c>
      <c r="H76" s="241">
        <v>0</v>
      </c>
      <c r="I76" s="241">
        <v>0</v>
      </c>
      <c r="J76" s="241">
        <v>0</v>
      </c>
      <c r="K76" s="241">
        <v>0</v>
      </c>
      <c r="L76" s="241">
        <v>0</v>
      </c>
      <c r="M76" s="241">
        <v>0</v>
      </c>
    </row>
    <row r="77" spans="1:13" x14ac:dyDescent="0.3">
      <c r="A77" s="154" t="s">
        <v>38</v>
      </c>
      <c r="B77" s="241">
        <v>6428877.7999999998</v>
      </c>
      <c r="C77" s="241">
        <v>1859259.8</v>
      </c>
      <c r="D77" s="241">
        <v>922600</v>
      </c>
      <c r="E77" s="241">
        <v>1797459</v>
      </c>
      <c r="F77" s="241">
        <v>0</v>
      </c>
      <c r="G77" s="241">
        <v>1849559</v>
      </c>
      <c r="H77" s="241">
        <v>0</v>
      </c>
      <c r="I77" s="241">
        <v>0</v>
      </c>
      <c r="J77" s="241">
        <v>0</v>
      </c>
      <c r="K77" s="241">
        <v>0</v>
      </c>
      <c r="L77" s="241">
        <v>0</v>
      </c>
      <c r="M77" s="241">
        <v>0</v>
      </c>
    </row>
    <row r="78" spans="1:13" x14ac:dyDescent="0.3">
      <c r="A78" s="154" t="s">
        <v>39</v>
      </c>
      <c r="B78" s="241">
        <v>2027702</v>
      </c>
      <c r="C78" s="241">
        <v>2027702</v>
      </c>
      <c r="D78" s="241">
        <v>0</v>
      </c>
      <c r="E78" s="241">
        <v>0</v>
      </c>
      <c r="F78" s="241">
        <v>0</v>
      </c>
      <c r="G78" s="241">
        <v>0</v>
      </c>
      <c r="H78" s="241">
        <v>0</v>
      </c>
      <c r="I78" s="241">
        <v>0</v>
      </c>
      <c r="J78" s="241">
        <v>0</v>
      </c>
      <c r="K78" s="241">
        <v>0</v>
      </c>
      <c r="L78" s="241">
        <v>0</v>
      </c>
      <c r="M78" s="241">
        <v>0</v>
      </c>
    </row>
    <row r="79" spans="1:13" x14ac:dyDescent="0.3">
      <c r="A79" s="154" t="s">
        <v>40</v>
      </c>
      <c r="B79" s="241">
        <v>1068720890.42</v>
      </c>
      <c r="C79" s="241">
        <v>304926300.32999992</v>
      </c>
      <c r="D79" s="241">
        <v>166798599.10000002</v>
      </c>
      <c r="E79" s="241">
        <v>212810318.73999998</v>
      </c>
      <c r="F79" s="241">
        <v>255553662.40000001</v>
      </c>
      <c r="G79" s="241">
        <v>125959999.84999999</v>
      </c>
      <c r="H79" s="241">
        <v>1275000</v>
      </c>
      <c r="I79" s="241">
        <v>1397010</v>
      </c>
      <c r="J79" s="241">
        <v>0</v>
      </c>
      <c r="K79" s="241">
        <v>0</v>
      </c>
      <c r="L79" s="241">
        <v>0</v>
      </c>
      <c r="M79" s="241">
        <v>0</v>
      </c>
    </row>
    <row r="80" spans="1:13" ht="14" thickBot="1" x14ac:dyDescent="0.35">
      <c r="A80" s="154" t="s">
        <v>41</v>
      </c>
      <c r="B80" s="240">
        <v>11869029</v>
      </c>
      <c r="C80" s="240">
        <v>3611354</v>
      </c>
      <c r="D80" s="240">
        <v>1950590</v>
      </c>
      <c r="E80" s="240">
        <v>1525000</v>
      </c>
      <c r="F80" s="240">
        <v>4782085</v>
      </c>
      <c r="G80" s="240">
        <v>0</v>
      </c>
      <c r="H80" s="240">
        <v>0</v>
      </c>
      <c r="I80" s="240">
        <v>0</v>
      </c>
      <c r="J80" s="240">
        <v>0</v>
      </c>
      <c r="K80" s="240">
        <v>0</v>
      </c>
      <c r="L80" s="240">
        <v>0</v>
      </c>
      <c r="M80" s="240">
        <v>0</v>
      </c>
    </row>
    <row r="81" spans="1:14" ht="14" thickTop="1" x14ac:dyDescent="0.3">
      <c r="A81" s="45" t="s">
        <v>1</v>
      </c>
      <c r="B81" s="20">
        <f>SUM(C81:M81)</f>
        <v>3395741052.6100001</v>
      </c>
      <c r="C81" s="20">
        <f t="shared" ref="C81:M81" si="2">SUM(C62:C80)</f>
        <v>937250008.65999997</v>
      </c>
      <c r="D81" s="20">
        <f t="shared" si="2"/>
        <v>602311266.98000002</v>
      </c>
      <c r="E81" s="20">
        <f t="shared" si="2"/>
        <v>732572083.50999987</v>
      </c>
      <c r="F81" s="20">
        <f t="shared" si="2"/>
        <v>788930857.6400001</v>
      </c>
      <c r="G81" s="20">
        <f t="shared" si="2"/>
        <v>307300779.19</v>
      </c>
      <c r="H81" s="239">
        <f t="shared" si="2"/>
        <v>12342762.619999999</v>
      </c>
      <c r="I81" s="239">
        <f t="shared" si="2"/>
        <v>9305497.0500000007</v>
      </c>
      <c r="J81" s="239">
        <f t="shared" si="2"/>
        <v>4333493.96</v>
      </c>
      <c r="K81" s="239">
        <f t="shared" si="2"/>
        <v>0</v>
      </c>
      <c r="L81" s="239">
        <f t="shared" si="2"/>
        <v>0</v>
      </c>
      <c r="M81" s="239">
        <f t="shared" si="2"/>
        <v>1394303</v>
      </c>
    </row>
    <row r="82" spans="1:14" x14ac:dyDescent="0.3">
      <c r="A82" s="37"/>
      <c r="B82" s="38"/>
      <c r="C82" s="38"/>
      <c r="D82" s="38"/>
      <c r="E82" s="38"/>
      <c r="F82" s="38"/>
      <c r="G82" s="38"/>
      <c r="H82" s="238"/>
      <c r="I82" s="238"/>
      <c r="J82" s="238"/>
      <c r="K82" s="238"/>
      <c r="L82" s="238"/>
      <c r="M82" s="238"/>
    </row>
    <row r="84" spans="1:14" x14ac:dyDescent="0.3">
      <c r="A84" s="187" t="s">
        <v>88</v>
      </c>
      <c r="B84" s="187"/>
      <c r="C84" s="187"/>
      <c r="D84" s="187"/>
      <c r="E84" s="187"/>
      <c r="F84" s="187"/>
      <c r="G84" s="187"/>
      <c r="H84" s="187"/>
      <c r="I84" s="187"/>
      <c r="J84" s="187"/>
      <c r="K84" s="187"/>
      <c r="L84" s="187"/>
      <c r="M84" s="187"/>
    </row>
    <row r="85" spans="1:14" s="69" customFormat="1" x14ac:dyDescent="0.3">
      <c r="A85" s="108"/>
      <c r="B85" s="109" t="s">
        <v>1</v>
      </c>
      <c r="C85" s="110" t="s">
        <v>18</v>
      </c>
      <c r="D85" s="110" t="s">
        <v>19</v>
      </c>
      <c r="E85" s="111" t="s">
        <v>20</v>
      </c>
      <c r="F85" s="112" t="s">
        <v>21</v>
      </c>
      <c r="G85" s="112" t="s">
        <v>154</v>
      </c>
      <c r="H85" s="112" t="s">
        <v>22</v>
      </c>
      <c r="I85" s="112" t="s">
        <v>23</v>
      </c>
      <c r="J85" s="112" t="s">
        <v>24</v>
      </c>
      <c r="K85" s="112" t="s">
        <v>25</v>
      </c>
      <c r="L85" s="112" t="s">
        <v>26</v>
      </c>
      <c r="M85" s="110" t="s">
        <v>27</v>
      </c>
    </row>
    <row r="86" spans="1:14" x14ac:dyDescent="0.3">
      <c r="A86" s="12"/>
      <c r="B86" s="11"/>
      <c r="C86" s="13"/>
      <c r="D86" s="13"/>
      <c r="E86" s="17"/>
      <c r="F86" s="13"/>
      <c r="G86" s="13"/>
      <c r="H86" s="13"/>
      <c r="I86" s="13"/>
      <c r="J86" s="13"/>
      <c r="K86" s="13"/>
      <c r="L86" s="13"/>
      <c r="M86" s="13"/>
    </row>
    <row r="87" spans="1:14" ht="27" x14ac:dyDescent="0.3">
      <c r="A87" s="16" t="s">
        <v>42</v>
      </c>
      <c r="B87" s="25" t="s">
        <v>4</v>
      </c>
      <c r="C87" s="15" t="s">
        <v>4</v>
      </c>
      <c r="D87" s="15" t="s">
        <v>4</v>
      </c>
      <c r="E87" s="14" t="s">
        <v>4</v>
      </c>
      <c r="F87" s="15" t="s">
        <v>4</v>
      </c>
      <c r="G87" s="15" t="s">
        <v>4</v>
      </c>
      <c r="H87" s="15" t="s">
        <v>4</v>
      </c>
      <c r="I87" s="15" t="s">
        <v>4</v>
      </c>
      <c r="J87" s="15" t="s">
        <v>4</v>
      </c>
      <c r="K87" s="15" t="s">
        <v>4</v>
      </c>
      <c r="L87" s="15" t="s">
        <v>4</v>
      </c>
      <c r="M87" s="15" t="s">
        <v>4</v>
      </c>
    </row>
    <row r="88" spans="1:14" x14ac:dyDescent="0.3">
      <c r="A88" s="41" t="s">
        <v>48</v>
      </c>
      <c r="B88" s="237">
        <v>3395741052.6100016</v>
      </c>
      <c r="C88" s="237">
        <v>937250008.65999961</v>
      </c>
      <c r="D88" s="237">
        <v>602311266.98000014</v>
      </c>
      <c r="E88" s="237">
        <v>732572083.51000023</v>
      </c>
      <c r="F88" s="237">
        <v>788930857.63999951</v>
      </c>
      <c r="G88" s="237">
        <v>307300779.18999994</v>
      </c>
      <c r="H88" s="236">
        <v>12342762.619999999</v>
      </c>
      <c r="I88" s="236">
        <v>9305497.0500000007</v>
      </c>
      <c r="J88" s="236">
        <v>4333493.96</v>
      </c>
      <c r="K88" s="236"/>
      <c r="L88" s="236"/>
      <c r="M88" s="236">
        <v>1394303</v>
      </c>
    </row>
    <row r="89" spans="1:14" x14ac:dyDescent="0.3">
      <c r="A89" s="49" t="s">
        <v>43</v>
      </c>
      <c r="B89" s="235"/>
      <c r="C89" s="232"/>
      <c r="D89" s="232"/>
      <c r="E89" s="232"/>
      <c r="F89" s="232"/>
      <c r="G89" s="232"/>
      <c r="H89" s="231"/>
      <c r="I89" s="231"/>
      <c r="J89" s="231"/>
      <c r="K89" s="231"/>
      <c r="L89" s="231"/>
      <c r="M89" s="231"/>
      <c r="N89" s="70"/>
    </row>
    <row r="90" spans="1:14" x14ac:dyDescent="0.3">
      <c r="A90" s="42" t="s">
        <v>44</v>
      </c>
      <c r="B90" s="229"/>
      <c r="C90" s="234"/>
      <c r="D90" s="234"/>
      <c r="E90" s="233"/>
      <c r="F90" s="232"/>
      <c r="G90" s="232"/>
      <c r="H90" s="231"/>
      <c r="I90" s="231"/>
      <c r="J90" s="231"/>
      <c r="K90" s="231"/>
      <c r="L90" s="231"/>
      <c r="M90" s="230"/>
    </row>
    <row r="91" spans="1:14" x14ac:dyDescent="0.3">
      <c r="A91" s="42" t="s">
        <v>45</v>
      </c>
      <c r="B91" s="229"/>
      <c r="C91" s="234"/>
      <c r="D91" s="234"/>
      <c r="E91" s="233"/>
      <c r="F91" s="232"/>
      <c r="G91" s="232"/>
      <c r="H91" s="231"/>
      <c r="I91" s="231"/>
      <c r="J91" s="231"/>
      <c r="K91" s="231"/>
      <c r="L91" s="231"/>
      <c r="M91" s="230"/>
    </row>
    <row r="92" spans="1:14" x14ac:dyDescent="0.3">
      <c r="A92" s="42" t="s">
        <v>46</v>
      </c>
      <c r="B92" s="229"/>
      <c r="C92" s="234"/>
      <c r="D92" s="234"/>
      <c r="E92" s="233"/>
      <c r="F92" s="232"/>
      <c r="G92" s="232"/>
      <c r="H92" s="231"/>
      <c r="I92" s="231"/>
      <c r="J92" s="231"/>
      <c r="K92" s="231"/>
      <c r="L92" s="231"/>
      <c r="M92" s="230"/>
    </row>
    <row r="93" spans="1:14" ht="14" thickBot="1" x14ac:dyDescent="0.35">
      <c r="A93" s="43" t="s">
        <v>47</v>
      </c>
      <c r="B93" s="229"/>
      <c r="C93" s="228"/>
      <c r="D93" s="228"/>
      <c r="E93" s="227"/>
      <c r="F93" s="226"/>
      <c r="G93" s="226"/>
      <c r="H93" s="225"/>
      <c r="I93" s="225"/>
      <c r="J93" s="225"/>
      <c r="K93" s="225"/>
      <c r="L93" s="225"/>
      <c r="M93" s="224"/>
    </row>
    <row r="94" spans="1:14" ht="14" thickTop="1" x14ac:dyDescent="0.3">
      <c r="A94" s="44" t="s">
        <v>1</v>
      </c>
      <c r="B94" s="22">
        <f t="shared" ref="B94:M94" si="3">SUM(B88:B93)</f>
        <v>3395741052.6100016</v>
      </c>
      <c r="C94" s="22">
        <f t="shared" si="3"/>
        <v>937250008.65999961</v>
      </c>
      <c r="D94" s="22">
        <f t="shared" si="3"/>
        <v>602311266.98000014</v>
      </c>
      <c r="E94" s="22">
        <f t="shared" si="3"/>
        <v>732572083.51000023</v>
      </c>
      <c r="F94" s="22">
        <f t="shared" si="3"/>
        <v>788930857.63999951</v>
      </c>
      <c r="G94" s="22">
        <f t="shared" si="3"/>
        <v>307300779.18999994</v>
      </c>
      <c r="H94" s="22">
        <f t="shared" si="3"/>
        <v>12342762.619999999</v>
      </c>
      <c r="I94" s="22">
        <f t="shared" si="3"/>
        <v>9305497.0500000007</v>
      </c>
      <c r="J94" s="22">
        <f t="shared" si="3"/>
        <v>4333493.96</v>
      </c>
      <c r="K94" s="22">
        <f t="shared" si="3"/>
        <v>0</v>
      </c>
      <c r="L94" s="22">
        <f t="shared" si="3"/>
        <v>0</v>
      </c>
      <c r="M94" s="23">
        <f t="shared" si="3"/>
        <v>1394303</v>
      </c>
    </row>
    <row r="95" spans="1:14" x14ac:dyDescent="0.3">
      <c r="A95" s="26"/>
      <c r="B95" s="40"/>
      <c r="C95" s="40"/>
      <c r="D95" s="40"/>
      <c r="E95" s="40"/>
      <c r="F95" s="40"/>
      <c r="G95" s="40"/>
      <c r="H95" s="40"/>
      <c r="I95" s="40"/>
      <c r="J95" s="40"/>
      <c r="K95" s="40"/>
      <c r="L95" s="40"/>
      <c r="M95" s="40"/>
    </row>
    <row r="97" spans="1:15" x14ac:dyDescent="0.3">
      <c r="A97" s="187" t="s">
        <v>89</v>
      </c>
      <c r="B97" s="187"/>
      <c r="C97" s="187"/>
      <c r="D97" s="187"/>
      <c r="E97" s="187"/>
      <c r="F97" s="187"/>
      <c r="G97" s="187"/>
      <c r="H97" s="187"/>
      <c r="I97" s="187"/>
      <c r="J97" s="187"/>
      <c r="K97" s="187"/>
      <c r="L97" s="187"/>
      <c r="M97" s="187"/>
    </row>
    <row r="98" spans="1:15" x14ac:dyDescent="0.3">
      <c r="A98" s="108"/>
      <c r="B98" s="109" t="s">
        <v>1</v>
      </c>
      <c r="C98" s="110" t="s">
        <v>18</v>
      </c>
      <c r="D98" s="110" t="s">
        <v>19</v>
      </c>
      <c r="E98" s="111" t="s">
        <v>20</v>
      </c>
      <c r="F98" s="112" t="s">
        <v>21</v>
      </c>
      <c r="G98" s="112" t="s">
        <v>154</v>
      </c>
      <c r="H98" s="112" t="s">
        <v>22</v>
      </c>
      <c r="I98" s="112" t="s">
        <v>23</v>
      </c>
      <c r="J98" s="112" t="s">
        <v>24</v>
      </c>
      <c r="K98" s="112" t="s">
        <v>25</v>
      </c>
      <c r="L98" s="112" t="s">
        <v>26</v>
      </c>
      <c r="M98" s="110" t="s">
        <v>27</v>
      </c>
    </row>
    <row r="99" spans="1:15" x14ac:dyDescent="0.3">
      <c r="A99" s="46"/>
      <c r="B99" s="11"/>
      <c r="C99" s="13"/>
      <c r="D99" s="13"/>
      <c r="E99" s="17"/>
      <c r="F99" s="13"/>
      <c r="G99" s="13"/>
      <c r="H99" s="13"/>
      <c r="I99" s="13"/>
      <c r="J99" s="13"/>
      <c r="K99" s="13"/>
      <c r="L99" s="13"/>
      <c r="M99" s="13"/>
      <c r="N99" s="69"/>
      <c r="O99" s="69"/>
    </row>
    <row r="100" spans="1:15" ht="27" x14ac:dyDescent="0.3">
      <c r="A100" s="47" t="s">
        <v>42</v>
      </c>
      <c r="B100" s="25" t="s">
        <v>4</v>
      </c>
      <c r="C100" s="15" t="s">
        <v>4</v>
      </c>
      <c r="D100" s="15" t="s">
        <v>4</v>
      </c>
      <c r="E100" s="14" t="s">
        <v>4</v>
      </c>
      <c r="F100" s="15" t="s">
        <v>4</v>
      </c>
      <c r="G100" s="15" t="s">
        <v>4</v>
      </c>
      <c r="H100" s="15" t="s">
        <v>4</v>
      </c>
      <c r="I100" s="15" t="s">
        <v>4</v>
      </c>
      <c r="J100" s="15" t="s">
        <v>4</v>
      </c>
      <c r="K100" s="15" t="s">
        <v>4</v>
      </c>
      <c r="L100" s="15" t="s">
        <v>4</v>
      </c>
      <c r="M100" s="15" t="s">
        <v>4</v>
      </c>
    </row>
    <row r="101" spans="1:15" x14ac:dyDescent="0.3">
      <c r="A101" s="42" t="s">
        <v>62</v>
      </c>
      <c r="B101" s="220">
        <v>608448644.30000007</v>
      </c>
      <c r="C101" s="223">
        <v>120389433.78000003</v>
      </c>
      <c r="D101" s="222">
        <v>112225629.33</v>
      </c>
      <c r="E101" s="222">
        <v>109148344.02</v>
      </c>
      <c r="F101" s="222">
        <v>178483289.89000002</v>
      </c>
      <c r="G101" s="222">
        <v>86110294.280000001</v>
      </c>
      <c r="H101" s="217">
        <v>2091653</v>
      </c>
      <c r="I101" s="216">
        <v>0</v>
      </c>
      <c r="J101" s="220">
        <v>0</v>
      </c>
      <c r="K101" s="221"/>
      <c r="L101" s="221"/>
      <c r="M101" s="220">
        <v>0</v>
      </c>
    </row>
    <row r="102" spans="1:15" x14ac:dyDescent="0.3">
      <c r="A102" s="42" t="s">
        <v>63</v>
      </c>
      <c r="B102" s="216">
        <v>1073025077.46</v>
      </c>
      <c r="C102" s="219">
        <v>233063819.78999999</v>
      </c>
      <c r="D102" s="218">
        <v>151492372.02000001</v>
      </c>
      <c r="E102" s="218">
        <v>234946456.27999994</v>
      </c>
      <c r="F102" s="218">
        <v>279900191.86999995</v>
      </c>
      <c r="G102" s="218">
        <v>156568573.17000002</v>
      </c>
      <c r="H102" s="217">
        <v>9113125.6199999992</v>
      </c>
      <c r="I102" s="216">
        <v>3607044.75</v>
      </c>
      <c r="J102" s="216">
        <v>4333493.96</v>
      </c>
      <c r="K102" s="217"/>
      <c r="L102" s="217"/>
      <c r="M102" s="216">
        <v>0</v>
      </c>
    </row>
    <row r="103" spans="1:15" x14ac:dyDescent="0.3">
      <c r="A103" s="42" t="s">
        <v>64</v>
      </c>
      <c r="B103" s="216">
        <v>792685343.31999993</v>
      </c>
      <c r="C103" s="219">
        <v>221779539.64000002</v>
      </c>
      <c r="D103" s="218">
        <v>141670883.13999999</v>
      </c>
      <c r="E103" s="218">
        <v>180159224.25</v>
      </c>
      <c r="F103" s="218">
        <v>219256856.46000004</v>
      </c>
      <c r="G103" s="218">
        <v>26714713.530000001</v>
      </c>
      <c r="H103" s="217">
        <v>1137984</v>
      </c>
      <c r="I103" s="216">
        <v>1966142.3</v>
      </c>
      <c r="J103" s="216">
        <v>0</v>
      </c>
      <c r="K103" s="217"/>
      <c r="L103" s="217"/>
      <c r="M103" s="216">
        <v>0</v>
      </c>
    </row>
    <row r="104" spans="1:15" x14ac:dyDescent="0.3">
      <c r="A104" s="42" t="s">
        <v>65</v>
      </c>
      <c r="B104" s="216">
        <v>627724300.33999991</v>
      </c>
      <c r="C104" s="219">
        <v>215252583.59999996</v>
      </c>
      <c r="D104" s="218">
        <v>136176823.25</v>
      </c>
      <c r="E104" s="218">
        <v>148658636.19999999</v>
      </c>
      <c r="F104" s="218">
        <v>89387715.520000011</v>
      </c>
      <c r="G104" s="218">
        <v>34516231.769999996</v>
      </c>
      <c r="H104" s="217">
        <v>0</v>
      </c>
      <c r="I104" s="216">
        <v>3732310</v>
      </c>
      <c r="J104" s="216">
        <v>0</v>
      </c>
      <c r="K104" s="217"/>
      <c r="L104" s="217"/>
      <c r="M104" s="216">
        <v>0</v>
      </c>
    </row>
    <row r="105" spans="1:15" ht="14" thickBot="1" x14ac:dyDescent="0.35">
      <c r="A105" s="43" t="s">
        <v>66</v>
      </c>
      <c r="B105" s="213">
        <v>293857687.19</v>
      </c>
      <c r="C105" s="215">
        <v>146764631.84999999</v>
      </c>
      <c r="D105" s="215">
        <v>60745559.239999995</v>
      </c>
      <c r="E105" s="215">
        <v>59659422.760000005</v>
      </c>
      <c r="F105" s="215">
        <v>21902803.899999999</v>
      </c>
      <c r="G105" s="215">
        <v>3390966.44</v>
      </c>
      <c r="H105" s="214">
        <v>0</v>
      </c>
      <c r="I105" s="213">
        <v>0</v>
      </c>
      <c r="J105" s="213">
        <v>0</v>
      </c>
      <c r="K105" s="214"/>
      <c r="L105" s="214"/>
      <c r="M105" s="213">
        <v>1394303</v>
      </c>
    </row>
    <row r="106" spans="1:15" ht="14" thickTop="1" x14ac:dyDescent="0.3">
      <c r="A106" s="42" t="s">
        <v>1</v>
      </c>
      <c r="B106" s="212">
        <f t="shared" ref="B106:M106" si="4">SUM(B101:B105)</f>
        <v>3395741052.6100001</v>
      </c>
      <c r="C106" s="212">
        <f t="shared" si="4"/>
        <v>937250008.65999997</v>
      </c>
      <c r="D106" s="212">
        <f t="shared" si="4"/>
        <v>602311266.98000002</v>
      </c>
      <c r="E106" s="212">
        <f t="shared" si="4"/>
        <v>732572083.50999999</v>
      </c>
      <c r="F106" s="212">
        <f t="shared" si="4"/>
        <v>788930857.63999999</v>
      </c>
      <c r="G106" s="212">
        <f t="shared" si="4"/>
        <v>307300779.19</v>
      </c>
      <c r="H106" s="212">
        <f t="shared" si="4"/>
        <v>12342762.619999999</v>
      </c>
      <c r="I106" s="212">
        <f t="shared" si="4"/>
        <v>9305497.0500000007</v>
      </c>
      <c r="J106" s="212">
        <f t="shared" si="4"/>
        <v>4333493.96</v>
      </c>
      <c r="K106" s="212">
        <f t="shared" si="4"/>
        <v>0</v>
      </c>
      <c r="L106" s="212">
        <f t="shared" si="4"/>
        <v>0</v>
      </c>
      <c r="M106" s="212">
        <f t="shared" si="4"/>
        <v>1394303</v>
      </c>
      <c r="N106" s="70"/>
    </row>
    <row r="107" spans="1:15" x14ac:dyDescent="0.3">
      <c r="A107" s="26"/>
      <c r="B107" s="211"/>
      <c r="C107" s="211"/>
      <c r="D107" s="211"/>
      <c r="E107" s="211"/>
      <c r="F107" s="211"/>
      <c r="G107" s="211"/>
      <c r="H107" s="211"/>
      <c r="I107" s="211"/>
      <c r="J107" s="211"/>
      <c r="K107" s="211"/>
      <c r="L107" s="211"/>
      <c r="M107" s="211"/>
      <c r="N107" s="67"/>
    </row>
    <row r="108" spans="1:15" x14ac:dyDescent="0.3">
      <c r="A108" s="67"/>
    </row>
    <row r="109" spans="1:15" x14ac:dyDescent="0.3">
      <c r="A109" s="187" t="s">
        <v>90</v>
      </c>
      <c r="B109" s="187"/>
      <c r="C109" s="187"/>
      <c r="D109" s="187"/>
      <c r="E109" s="187"/>
      <c r="F109" s="187"/>
      <c r="G109" s="187"/>
      <c r="H109" s="187"/>
      <c r="I109" s="187"/>
      <c r="J109" s="187"/>
      <c r="K109" s="187"/>
      <c r="L109" s="187"/>
      <c r="M109" s="187"/>
    </row>
    <row r="110" spans="1:15" x14ac:dyDescent="0.3">
      <c r="A110" s="108"/>
      <c r="B110" s="109" t="s">
        <v>1</v>
      </c>
      <c r="C110" s="110" t="s">
        <v>18</v>
      </c>
      <c r="D110" s="110" t="s">
        <v>19</v>
      </c>
      <c r="E110" s="111" t="s">
        <v>20</v>
      </c>
      <c r="F110" s="112" t="s">
        <v>21</v>
      </c>
      <c r="G110" s="112" t="s">
        <v>154</v>
      </c>
      <c r="H110" s="112" t="s">
        <v>22</v>
      </c>
      <c r="I110" s="112" t="s">
        <v>23</v>
      </c>
      <c r="J110" s="112" t="s">
        <v>24</v>
      </c>
      <c r="K110" s="112" t="s">
        <v>25</v>
      </c>
      <c r="L110" s="112" t="s">
        <v>26</v>
      </c>
      <c r="M110" s="110" t="s">
        <v>27</v>
      </c>
    </row>
    <row r="111" spans="1:15" x14ac:dyDescent="0.3">
      <c r="A111" s="46"/>
      <c r="B111" s="11"/>
      <c r="C111" s="13"/>
      <c r="D111" s="13"/>
      <c r="E111" s="17"/>
      <c r="F111" s="13"/>
      <c r="G111" s="13"/>
      <c r="H111" s="13"/>
      <c r="I111" s="13"/>
      <c r="J111" s="13"/>
      <c r="K111" s="13"/>
      <c r="L111" s="13"/>
      <c r="M111" s="13"/>
    </row>
    <row r="112" spans="1:15" ht="27" x14ac:dyDescent="0.3">
      <c r="A112" s="47"/>
      <c r="B112" s="25" t="s">
        <v>4</v>
      </c>
      <c r="C112" s="15" t="s">
        <v>4</v>
      </c>
      <c r="D112" s="15" t="s">
        <v>4</v>
      </c>
      <c r="E112" s="14" t="s">
        <v>4</v>
      </c>
      <c r="F112" s="15" t="s">
        <v>4</v>
      </c>
      <c r="G112" s="15" t="s">
        <v>4</v>
      </c>
      <c r="H112" s="15" t="s">
        <v>4</v>
      </c>
      <c r="I112" s="15" t="s">
        <v>4</v>
      </c>
      <c r="J112" s="15" t="s">
        <v>4</v>
      </c>
      <c r="K112" s="15" t="s">
        <v>4</v>
      </c>
      <c r="L112" s="15" t="s">
        <v>4</v>
      </c>
      <c r="M112" s="15" t="s">
        <v>4</v>
      </c>
    </row>
    <row r="113" spans="1:14" x14ac:dyDescent="0.3">
      <c r="A113" s="42" t="str">
        <f>INDEX([2]Language!$D$6:$K$1231,318,'[2]Front Page'!$B$10)</f>
        <v>Monthly</v>
      </c>
      <c r="B113" s="140">
        <v>3379442139.8900013</v>
      </c>
      <c r="C113" s="210">
        <v>639530290.06999981</v>
      </c>
      <c r="D113" s="206">
        <v>419275580.66000009</v>
      </c>
      <c r="E113" s="206">
        <v>503828373.31000018</v>
      </c>
      <c r="F113" s="206">
        <v>643270859.7699995</v>
      </c>
      <c r="G113" s="206">
        <v>260269245.60999995</v>
      </c>
      <c r="H113" s="203">
        <v>8004425.5699999994</v>
      </c>
      <c r="I113" s="203">
        <v>5122003.0900000008</v>
      </c>
      <c r="J113" s="203">
        <v>4333493.96</v>
      </c>
      <c r="K113" s="203"/>
      <c r="L113" s="203"/>
      <c r="M113" s="209">
        <v>1394303</v>
      </c>
    </row>
    <row r="114" spans="1:14" x14ac:dyDescent="0.3">
      <c r="A114" s="42" t="str">
        <f>INDEX([2]Language!$D$6:$K$1231,319,'[2]Front Page'!$B$10)</f>
        <v>Quarterly / Semi-annually</v>
      </c>
      <c r="B114" s="88">
        <v>14341351</v>
      </c>
      <c r="C114" s="208">
        <v>2023908</v>
      </c>
      <c r="D114" s="205">
        <v>3487840</v>
      </c>
      <c r="E114" s="205">
        <v>3605000</v>
      </c>
      <c r="F114" s="205">
        <v>5224603</v>
      </c>
      <c r="G114" s="205">
        <v>0</v>
      </c>
      <c r="H114" s="202">
        <v>0</v>
      </c>
      <c r="I114" s="202">
        <v>0</v>
      </c>
      <c r="J114" s="202">
        <v>0</v>
      </c>
      <c r="K114" s="202"/>
      <c r="L114" s="202"/>
      <c r="M114" s="197"/>
    </row>
    <row r="115" spans="1:14" x14ac:dyDescent="0.3">
      <c r="A115" s="42" t="str">
        <f>INDEX([2]Language!$D$6:$K$1231,320,'[2]Front Page'!$B$10)</f>
        <v>Annually</v>
      </c>
      <c r="B115" s="88">
        <v>1957561.72</v>
      </c>
      <c r="C115" s="208">
        <v>388278</v>
      </c>
      <c r="D115" s="205">
        <v>1569283.72</v>
      </c>
      <c r="E115" s="205"/>
      <c r="F115" s="205"/>
      <c r="G115" s="205"/>
      <c r="H115" s="202"/>
      <c r="I115" s="202"/>
      <c r="J115" s="202"/>
      <c r="K115" s="202"/>
      <c r="L115" s="202"/>
      <c r="M115" s="197"/>
    </row>
    <row r="116" spans="1:14" x14ac:dyDescent="0.3">
      <c r="A116" s="49" t="str">
        <f>INDEX([2]Language!$D$6:$K$1231,321,'[2]Front Page'!$B$10)</f>
        <v>BULLET</v>
      </c>
      <c r="B116" s="88"/>
      <c r="C116" s="208"/>
      <c r="D116" s="205"/>
      <c r="E116" s="205"/>
      <c r="F116" s="205"/>
      <c r="G116" s="205"/>
      <c r="H116" s="202"/>
      <c r="I116" s="202"/>
      <c r="J116" s="202"/>
      <c r="K116" s="202"/>
      <c r="L116" s="202"/>
      <c r="M116" s="197"/>
    </row>
    <row r="117" spans="1:14" ht="14" thickBot="1" x14ac:dyDescent="0.35">
      <c r="A117" s="43" t="str">
        <f>INDEX([2]Language!$D$6:$K$1231,322,'[2]Front Page'!$B$10)</f>
        <v>Other</v>
      </c>
      <c r="B117" s="148"/>
      <c r="C117" s="207">
        <v>295307532.58999991</v>
      </c>
      <c r="D117" s="204">
        <v>177978562.59999999</v>
      </c>
      <c r="E117" s="204">
        <v>225138710.19999996</v>
      </c>
      <c r="F117" s="204">
        <v>140435394.87000003</v>
      </c>
      <c r="G117" s="204">
        <v>47031533.579999998</v>
      </c>
      <c r="H117" s="201">
        <v>4338337.05</v>
      </c>
      <c r="I117" s="201">
        <v>4183493.96</v>
      </c>
      <c r="J117" s="201"/>
      <c r="K117" s="201"/>
      <c r="L117" s="201"/>
      <c r="M117" s="193"/>
    </row>
    <row r="118" spans="1:14" ht="14" thickTop="1" x14ac:dyDescent="0.3">
      <c r="A118" s="42" t="s">
        <v>1</v>
      </c>
      <c r="B118" s="139">
        <f t="shared" ref="B118:M118" si="5">SUM(B113:B117)</f>
        <v>3395741052.6100011</v>
      </c>
      <c r="C118" s="97">
        <f t="shared" si="5"/>
        <v>937250008.65999973</v>
      </c>
      <c r="D118" s="97">
        <f t="shared" si="5"/>
        <v>602311266.98000014</v>
      </c>
      <c r="E118" s="97">
        <f t="shared" si="5"/>
        <v>732572083.51000011</v>
      </c>
      <c r="F118" s="97">
        <f t="shared" si="5"/>
        <v>788930857.63999951</v>
      </c>
      <c r="G118" s="97">
        <f t="shared" si="5"/>
        <v>307300779.18999994</v>
      </c>
      <c r="H118" s="97">
        <f t="shared" si="5"/>
        <v>12342762.619999999</v>
      </c>
      <c r="I118" s="97">
        <f t="shared" si="5"/>
        <v>9305497.0500000007</v>
      </c>
      <c r="J118" s="97">
        <f t="shared" si="5"/>
        <v>4333493.96</v>
      </c>
      <c r="K118" s="97">
        <f t="shared" si="5"/>
        <v>0</v>
      </c>
      <c r="L118" s="97">
        <f t="shared" si="5"/>
        <v>0</v>
      </c>
      <c r="M118" s="98">
        <f t="shared" si="5"/>
        <v>1394303</v>
      </c>
    </row>
    <row r="119" spans="1:14" x14ac:dyDescent="0.3">
      <c r="A119" s="26"/>
      <c r="B119" s="99"/>
      <c r="C119" s="99"/>
      <c r="D119" s="99"/>
      <c r="E119" s="99"/>
      <c r="F119" s="99"/>
      <c r="G119" s="99"/>
      <c r="H119" s="99"/>
      <c r="I119" s="99"/>
      <c r="J119" s="99"/>
      <c r="K119" s="99"/>
      <c r="L119" s="99"/>
      <c r="M119" s="99"/>
    </row>
    <row r="121" spans="1:14" x14ac:dyDescent="0.3">
      <c r="A121" s="187" t="s">
        <v>91</v>
      </c>
      <c r="B121" s="187"/>
      <c r="C121" s="187"/>
      <c r="D121" s="187"/>
      <c r="E121" s="187"/>
      <c r="F121" s="187"/>
      <c r="G121" s="187"/>
      <c r="H121" s="187"/>
      <c r="I121" s="187"/>
      <c r="J121" s="187"/>
      <c r="K121" s="187"/>
      <c r="L121" s="187"/>
      <c r="M121" s="187"/>
    </row>
    <row r="122" spans="1:14" x14ac:dyDescent="0.3">
      <c r="A122" s="113"/>
      <c r="B122" s="109" t="s">
        <v>1</v>
      </c>
      <c r="C122" s="110" t="s">
        <v>18</v>
      </c>
      <c r="D122" s="110" t="s">
        <v>19</v>
      </c>
      <c r="E122" s="111" t="s">
        <v>20</v>
      </c>
      <c r="F122" s="112" t="s">
        <v>21</v>
      </c>
      <c r="G122" s="112" t="s">
        <v>154</v>
      </c>
      <c r="H122" s="112" t="s">
        <v>22</v>
      </c>
      <c r="I122" s="112" t="s">
        <v>23</v>
      </c>
      <c r="J122" s="112" t="s">
        <v>24</v>
      </c>
      <c r="K122" s="112" t="s">
        <v>25</v>
      </c>
      <c r="L122" s="112" t="s">
        <v>26</v>
      </c>
      <c r="M122" s="110" t="s">
        <v>27</v>
      </c>
    </row>
    <row r="123" spans="1:14" x14ac:dyDescent="0.3">
      <c r="A123" s="48"/>
      <c r="B123" s="11"/>
      <c r="C123" s="13"/>
      <c r="D123" s="13"/>
      <c r="E123" s="17"/>
      <c r="F123" s="13"/>
      <c r="G123" s="13"/>
      <c r="H123" s="13"/>
      <c r="I123" s="13"/>
      <c r="J123" s="13"/>
      <c r="K123" s="13"/>
      <c r="L123" s="13"/>
      <c r="M123" s="13"/>
    </row>
    <row r="124" spans="1:14" ht="27" x14ac:dyDescent="0.3">
      <c r="A124" s="47"/>
      <c r="B124" s="25" t="s">
        <v>4</v>
      </c>
      <c r="C124" s="15" t="s">
        <v>4</v>
      </c>
      <c r="D124" s="15" t="s">
        <v>4</v>
      </c>
      <c r="E124" s="14" t="s">
        <v>4</v>
      </c>
      <c r="F124" s="15" t="s">
        <v>4</v>
      </c>
      <c r="G124" s="15" t="s">
        <v>4</v>
      </c>
      <c r="H124" s="15" t="s">
        <v>4</v>
      </c>
      <c r="I124" s="15" t="s">
        <v>4</v>
      </c>
      <c r="J124" s="15" t="s">
        <v>4</v>
      </c>
      <c r="K124" s="15" t="s">
        <v>4</v>
      </c>
      <c r="L124" s="15" t="s">
        <v>4</v>
      </c>
      <c r="M124" s="15" t="s">
        <v>4</v>
      </c>
    </row>
    <row r="125" spans="1:14" x14ac:dyDescent="0.3">
      <c r="A125" s="42" t="s">
        <v>57</v>
      </c>
      <c r="B125" s="84">
        <v>3395741052.6100016</v>
      </c>
      <c r="C125" s="206">
        <v>937250008.65999961</v>
      </c>
      <c r="D125" s="206">
        <v>602311266.98000014</v>
      </c>
      <c r="E125" s="206">
        <v>732572083.51000023</v>
      </c>
      <c r="F125" s="206">
        <v>788930857.63999951</v>
      </c>
      <c r="G125" s="206">
        <v>307300779.18999994</v>
      </c>
      <c r="H125" s="203">
        <v>12342762.619999999</v>
      </c>
      <c r="I125" s="203">
        <v>9305497.0500000007</v>
      </c>
      <c r="J125" s="203">
        <v>4333493.96</v>
      </c>
      <c r="K125" s="203"/>
      <c r="L125" s="203"/>
      <c r="M125" s="203">
        <v>1394303</v>
      </c>
      <c r="N125" s="70"/>
    </row>
    <row r="126" spans="1:14" x14ac:dyDescent="0.3">
      <c r="A126" s="42" t="s">
        <v>67</v>
      </c>
      <c r="B126" s="100"/>
      <c r="C126" s="205"/>
      <c r="D126" s="205"/>
      <c r="E126" s="205"/>
      <c r="F126" s="205"/>
      <c r="G126" s="205"/>
      <c r="H126" s="202"/>
      <c r="I126" s="202"/>
      <c r="J126" s="202"/>
      <c r="K126" s="202"/>
      <c r="L126" s="202"/>
      <c r="M126" s="202"/>
      <c r="N126" s="70"/>
    </row>
    <row r="127" spans="1:14" x14ac:dyDescent="0.3">
      <c r="A127" s="42" t="s">
        <v>68</v>
      </c>
      <c r="B127" s="100"/>
      <c r="C127" s="205"/>
      <c r="D127" s="205"/>
      <c r="E127" s="205"/>
      <c r="F127" s="205"/>
      <c r="G127" s="205"/>
      <c r="H127" s="202"/>
      <c r="I127" s="202"/>
      <c r="J127" s="202"/>
      <c r="K127" s="202"/>
      <c r="L127" s="202"/>
      <c r="M127" s="202"/>
      <c r="N127" s="70"/>
    </row>
    <row r="128" spans="1:14" ht="14" thickBot="1" x14ac:dyDescent="0.35">
      <c r="A128" s="43" t="s">
        <v>69</v>
      </c>
      <c r="B128" s="93"/>
      <c r="C128" s="204"/>
      <c r="D128" s="204"/>
      <c r="E128" s="204"/>
      <c r="F128" s="204"/>
      <c r="G128" s="204"/>
      <c r="H128" s="201"/>
      <c r="I128" s="201"/>
      <c r="J128" s="201"/>
      <c r="K128" s="201"/>
      <c r="L128" s="201"/>
      <c r="M128" s="201"/>
      <c r="N128" s="70"/>
    </row>
    <row r="129" spans="1:14" ht="14" thickTop="1" x14ac:dyDescent="0.3">
      <c r="A129" s="42" t="s">
        <v>1</v>
      </c>
      <c r="B129" s="97">
        <f t="shared" ref="B129:M129" si="6">SUM(B125:B128)</f>
        <v>3395741052.6100016</v>
      </c>
      <c r="C129" s="97">
        <f t="shared" si="6"/>
        <v>937250008.65999961</v>
      </c>
      <c r="D129" s="97">
        <f t="shared" si="6"/>
        <v>602311266.98000014</v>
      </c>
      <c r="E129" s="97">
        <f t="shared" si="6"/>
        <v>732572083.51000023</v>
      </c>
      <c r="F129" s="97">
        <f t="shared" si="6"/>
        <v>788930857.63999951</v>
      </c>
      <c r="G129" s="97">
        <f t="shared" si="6"/>
        <v>307300779.18999994</v>
      </c>
      <c r="H129" s="97">
        <f t="shared" si="6"/>
        <v>12342762.619999999</v>
      </c>
      <c r="I129" s="97">
        <f t="shared" si="6"/>
        <v>9305497.0500000007</v>
      </c>
      <c r="J129" s="97">
        <f t="shared" si="6"/>
        <v>4333493.96</v>
      </c>
      <c r="K129" s="97">
        <f t="shared" si="6"/>
        <v>0</v>
      </c>
      <c r="L129" s="97">
        <f t="shared" si="6"/>
        <v>0</v>
      </c>
      <c r="M129" s="97">
        <f t="shared" si="6"/>
        <v>1394303</v>
      </c>
      <c r="N129" s="70"/>
    </row>
    <row r="130" spans="1:14" x14ac:dyDescent="0.3">
      <c r="A130" s="26"/>
      <c r="B130" s="99"/>
      <c r="C130" s="99"/>
      <c r="D130" s="99"/>
      <c r="E130" s="99"/>
      <c r="F130" s="99"/>
      <c r="G130" s="99"/>
      <c r="H130" s="99"/>
      <c r="I130" s="99"/>
      <c r="J130" s="99"/>
      <c r="K130" s="99"/>
      <c r="L130" s="99"/>
      <c r="M130" s="99"/>
      <c r="N130" s="67"/>
    </row>
    <row r="132" spans="1:14" x14ac:dyDescent="0.3">
      <c r="A132" s="187" t="s">
        <v>70</v>
      </c>
      <c r="B132" s="187"/>
      <c r="C132" s="187"/>
      <c r="D132" s="187"/>
      <c r="E132" s="187"/>
      <c r="F132" s="187"/>
      <c r="G132" s="187"/>
      <c r="H132" s="187"/>
      <c r="I132" s="187"/>
    </row>
    <row r="133" spans="1:14" ht="40.5" x14ac:dyDescent="0.3">
      <c r="A133" s="109" t="s">
        <v>50</v>
      </c>
      <c r="B133" s="109" t="s">
        <v>51</v>
      </c>
      <c r="C133" s="149" t="s">
        <v>52</v>
      </c>
      <c r="D133" s="149" t="s">
        <v>59</v>
      </c>
      <c r="E133" s="149" t="s">
        <v>61</v>
      </c>
      <c r="F133" s="149" t="s">
        <v>53</v>
      </c>
      <c r="G133" s="150" t="s">
        <v>60</v>
      </c>
      <c r="H133" s="151" t="s">
        <v>54</v>
      </c>
      <c r="I133" s="150" t="s">
        <v>55</v>
      </c>
    </row>
    <row r="134" spans="1:14" x14ac:dyDescent="0.3">
      <c r="A134" s="41" t="s">
        <v>93</v>
      </c>
      <c r="B134" s="144" t="s">
        <v>3</v>
      </c>
      <c r="C134" s="203">
        <v>690000000</v>
      </c>
      <c r="D134" s="145" t="s">
        <v>101</v>
      </c>
      <c r="E134" s="145">
        <v>41818</v>
      </c>
      <c r="F134" s="146" t="s">
        <v>56</v>
      </c>
      <c r="G134" s="146" t="s">
        <v>108</v>
      </c>
      <c r="H134" s="145" t="s">
        <v>111</v>
      </c>
      <c r="I134" s="147">
        <v>1</v>
      </c>
    </row>
    <row r="135" spans="1:14" x14ac:dyDescent="0.3">
      <c r="A135" s="42" t="s">
        <v>92</v>
      </c>
      <c r="B135" s="70" t="s">
        <v>3</v>
      </c>
      <c r="C135" s="202">
        <v>850000000</v>
      </c>
      <c r="D135" s="142" t="s">
        <v>100</v>
      </c>
      <c r="E135" s="142">
        <v>42150</v>
      </c>
      <c r="F135" s="101" t="s">
        <v>56</v>
      </c>
      <c r="G135" s="101" t="s">
        <v>108</v>
      </c>
      <c r="H135" s="142" t="s">
        <v>110</v>
      </c>
      <c r="I135" s="143">
        <v>2</v>
      </c>
    </row>
    <row r="136" spans="1:14" x14ac:dyDescent="0.3">
      <c r="A136" s="42" t="s">
        <v>97</v>
      </c>
      <c r="B136" s="70" t="s">
        <v>3</v>
      </c>
      <c r="C136" s="202">
        <v>350000000</v>
      </c>
      <c r="D136" s="142" t="s">
        <v>105</v>
      </c>
      <c r="E136" s="142">
        <v>42479</v>
      </c>
      <c r="F136" s="101" t="s">
        <v>56</v>
      </c>
      <c r="G136" s="101" t="s">
        <v>108</v>
      </c>
      <c r="H136" s="142" t="s">
        <v>114</v>
      </c>
      <c r="I136" s="143">
        <v>3</v>
      </c>
    </row>
    <row r="137" spans="1:14" x14ac:dyDescent="0.3">
      <c r="A137" s="42" t="s">
        <v>98</v>
      </c>
      <c r="B137" s="70" t="s">
        <v>3</v>
      </c>
      <c r="C137" s="202">
        <v>200000000</v>
      </c>
      <c r="D137" s="142" t="s">
        <v>106</v>
      </c>
      <c r="E137" s="142">
        <v>41965</v>
      </c>
      <c r="F137" s="101" t="s">
        <v>58</v>
      </c>
      <c r="G137" s="101" t="s">
        <v>109</v>
      </c>
      <c r="H137" s="142" t="s">
        <v>115</v>
      </c>
      <c r="I137" s="143">
        <v>4</v>
      </c>
    </row>
    <row r="138" spans="1:14" x14ac:dyDescent="0.3">
      <c r="A138" s="42" t="s">
        <v>96</v>
      </c>
      <c r="B138" s="70" t="s">
        <v>3</v>
      </c>
      <c r="C138" s="202">
        <v>75000000</v>
      </c>
      <c r="D138" s="142" t="s">
        <v>104</v>
      </c>
      <c r="E138" s="142">
        <v>43173</v>
      </c>
      <c r="F138" s="101" t="s">
        <v>58</v>
      </c>
      <c r="G138" s="101" t="s">
        <v>109</v>
      </c>
      <c r="H138" s="142" t="s">
        <v>113</v>
      </c>
      <c r="I138" s="143">
        <v>5</v>
      </c>
    </row>
    <row r="139" spans="1:14" x14ac:dyDescent="0.3">
      <c r="A139" s="42" t="s">
        <v>99</v>
      </c>
      <c r="B139" s="70" t="s">
        <v>3</v>
      </c>
      <c r="C139" s="202">
        <v>300000000</v>
      </c>
      <c r="D139" s="142" t="s">
        <v>107</v>
      </c>
      <c r="E139" s="142">
        <v>42922</v>
      </c>
      <c r="F139" s="101" t="s">
        <v>56</v>
      </c>
      <c r="G139" s="101" t="s">
        <v>108</v>
      </c>
      <c r="H139" s="142" t="s">
        <v>116</v>
      </c>
      <c r="I139" s="143">
        <v>6</v>
      </c>
    </row>
    <row r="140" spans="1:14" x14ac:dyDescent="0.3">
      <c r="A140" s="42" t="s">
        <v>94</v>
      </c>
      <c r="B140" s="70" t="s">
        <v>3</v>
      </c>
      <c r="C140" s="202">
        <v>200000000</v>
      </c>
      <c r="D140" s="142" t="s">
        <v>102</v>
      </c>
      <c r="E140" s="142">
        <v>43357</v>
      </c>
      <c r="F140" s="101" t="s">
        <v>56</v>
      </c>
      <c r="G140" s="101" t="s">
        <v>108</v>
      </c>
      <c r="H140" s="142" t="s">
        <v>112</v>
      </c>
      <c r="I140" s="143">
        <v>7</v>
      </c>
    </row>
    <row r="141" spans="1:14" ht="14" thickBot="1" x14ac:dyDescent="0.35">
      <c r="A141" s="43" t="s">
        <v>95</v>
      </c>
      <c r="B141" s="169" t="s">
        <v>3</v>
      </c>
      <c r="C141" s="201">
        <v>300000000</v>
      </c>
      <c r="D141" s="170" t="s">
        <v>103</v>
      </c>
      <c r="E141" s="170">
        <v>42992</v>
      </c>
      <c r="F141" s="171" t="s">
        <v>56</v>
      </c>
      <c r="G141" s="171" t="s">
        <v>108</v>
      </c>
      <c r="H141" s="170" t="s">
        <v>112</v>
      </c>
      <c r="I141" s="172">
        <v>8</v>
      </c>
    </row>
    <row r="142" spans="1:14" s="67" customFormat="1" ht="14" thickTop="1" x14ac:dyDescent="0.3">
      <c r="A142" s="26"/>
      <c r="C142" s="188"/>
      <c r="D142" s="102"/>
      <c r="E142" s="102"/>
      <c r="F142" s="105"/>
      <c r="H142" s="102"/>
    </row>
    <row r="143" spans="1:14" s="67" customFormat="1" x14ac:dyDescent="0.3">
      <c r="A143" s="26"/>
      <c r="C143" s="188"/>
      <c r="D143" s="102"/>
      <c r="E143" s="102"/>
      <c r="F143" s="105"/>
      <c r="H143" s="102"/>
    </row>
    <row r="144" spans="1:14" s="67" customFormat="1" x14ac:dyDescent="0.3">
      <c r="A144" s="187" t="s">
        <v>118</v>
      </c>
      <c r="B144" s="187"/>
      <c r="C144" s="187"/>
      <c r="D144" s="187"/>
      <c r="E144" s="187"/>
      <c r="F144" s="187"/>
      <c r="H144" s="102"/>
    </row>
    <row r="145" spans="1:10" s="67" customFormat="1" x14ac:dyDescent="0.3">
      <c r="A145" s="136" t="s">
        <v>119</v>
      </c>
      <c r="B145" s="19" t="s">
        <v>50</v>
      </c>
      <c r="C145" s="19" t="s">
        <v>120</v>
      </c>
      <c r="D145" s="19" t="s">
        <v>51</v>
      </c>
      <c r="E145" s="63" t="s">
        <v>121</v>
      </c>
      <c r="F145" s="63" t="s">
        <v>122</v>
      </c>
      <c r="H145" s="102"/>
    </row>
    <row r="146" spans="1:10" s="67" customFormat="1" x14ac:dyDescent="0.3">
      <c r="A146" s="8" t="s">
        <v>123</v>
      </c>
      <c r="B146" s="200" t="s">
        <v>124</v>
      </c>
      <c r="C146" s="200" t="s">
        <v>125</v>
      </c>
      <c r="D146" s="200" t="s">
        <v>3</v>
      </c>
      <c r="E146" s="197">
        <v>84000000</v>
      </c>
      <c r="F146" s="196" t="s">
        <v>126</v>
      </c>
      <c r="H146" s="102"/>
    </row>
    <row r="147" spans="1:10" s="67" customFormat="1" x14ac:dyDescent="0.3">
      <c r="A147" s="7" t="s">
        <v>147</v>
      </c>
      <c r="B147" s="199" t="s">
        <v>127</v>
      </c>
      <c r="C147" s="199" t="s">
        <v>128</v>
      </c>
      <c r="D147" s="199" t="s">
        <v>3</v>
      </c>
      <c r="E147" s="197">
        <v>50000000</v>
      </c>
      <c r="F147" s="196" t="s">
        <v>129</v>
      </c>
      <c r="H147" s="102"/>
    </row>
    <row r="148" spans="1:10" s="67" customFormat="1" x14ac:dyDescent="0.3">
      <c r="A148" s="7" t="s">
        <v>133</v>
      </c>
      <c r="B148" s="199" t="s">
        <v>134</v>
      </c>
      <c r="C148" s="199" t="s">
        <v>128</v>
      </c>
      <c r="D148" s="199" t="s">
        <v>3</v>
      </c>
      <c r="E148" s="197">
        <v>25000000</v>
      </c>
      <c r="F148" s="196" t="s">
        <v>129</v>
      </c>
      <c r="H148" s="102"/>
    </row>
    <row r="149" spans="1:10" s="67" customFormat="1" x14ac:dyDescent="0.3">
      <c r="A149" s="7" t="s">
        <v>135</v>
      </c>
      <c r="B149" s="199" t="s">
        <v>136</v>
      </c>
      <c r="C149" s="199" t="s">
        <v>128</v>
      </c>
      <c r="D149" s="199" t="s">
        <v>3</v>
      </c>
      <c r="E149" s="197">
        <v>25000000</v>
      </c>
      <c r="F149" s="196" t="s">
        <v>129</v>
      </c>
      <c r="H149" s="102"/>
    </row>
    <row r="150" spans="1:10" s="67" customFormat="1" x14ac:dyDescent="0.3">
      <c r="A150" s="7" t="s">
        <v>160</v>
      </c>
      <c r="B150" s="198" t="s">
        <v>130</v>
      </c>
      <c r="C150" s="199" t="s">
        <v>128</v>
      </c>
      <c r="D150" s="198" t="s">
        <v>3</v>
      </c>
      <c r="E150" s="197">
        <v>25000000</v>
      </c>
      <c r="F150" s="196" t="s">
        <v>131</v>
      </c>
      <c r="H150" s="102"/>
    </row>
    <row r="151" spans="1:10" s="67" customFormat="1" ht="14" thickBot="1" x14ac:dyDescent="0.35">
      <c r="A151" s="3" t="s">
        <v>148</v>
      </c>
      <c r="B151" s="128" t="s">
        <v>146</v>
      </c>
      <c r="C151" s="195" t="s">
        <v>128</v>
      </c>
      <c r="D151" s="194" t="s">
        <v>3</v>
      </c>
      <c r="E151" s="193">
        <v>25000000</v>
      </c>
      <c r="F151" s="192" t="s">
        <v>129</v>
      </c>
      <c r="H151" s="102"/>
    </row>
    <row r="152" spans="1:10" s="67" customFormat="1" ht="14" thickTop="1" x14ac:dyDescent="0.3">
      <c r="A152" s="5" t="s">
        <v>1</v>
      </c>
      <c r="B152" s="191"/>
      <c r="C152" s="191"/>
      <c r="D152" s="191"/>
      <c r="E152" s="190">
        <f>SUM(E146:E151)</f>
        <v>234000000</v>
      </c>
      <c r="F152" s="189"/>
      <c r="H152" s="102"/>
    </row>
    <row r="153" spans="1:10" s="67" customFormat="1" x14ac:dyDescent="0.3">
      <c r="A153" s="26"/>
      <c r="C153" s="188"/>
      <c r="D153" s="102"/>
      <c r="E153" s="102"/>
      <c r="F153" s="105"/>
      <c r="H153" s="102"/>
    </row>
    <row r="154" spans="1:10" x14ac:dyDescent="0.3">
      <c r="A154" s="67"/>
      <c r="B154" s="67"/>
      <c r="C154" s="67"/>
      <c r="D154" s="67"/>
      <c r="E154" s="67"/>
      <c r="F154" s="67"/>
      <c r="G154" s="67"/>
      <c r="H154" s="67"/>
      <c r="I154" s="67"/>
      <c r="J154" s="67"/>
    </row>
    <row r="155" spans="1:10" x14ac:dyDescent="0.3">
      <c r="A155" s="187" t="s">
        <v>132</v>
      </c>
      <c r="B155" s="187"/>
      <c r="C155" s="187"/>
      <c r="D155" s="187"/>
      <c r="E155" s="187"/>
    </row>
    <row r="176" spans="1:1" x14ac:dyDescent="0.3">
      <c r="A176"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73"/>
  <sheetViews>
    <sheetView workbookViewId="0">
      <pane ySplit="7" topLeftCell="A118" activePane="bottomLeft" state="frozen"/>
      <selection pane="bottomLeft" activeCell="F140" sqref="F140"/>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43373</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8487586145</v>
      </c>
      <c r="C7" s="263"/>
      <c r="D7" s="364"/>
      <c r="E7" s="450"/>
      <c r="F7" s="266"/>
      <c r="G7" s="55"/>
      <c r="H7" s="55"/>
      <c r="I7" s="67"/>
      <c r="J7" s="67"/>
      <c r="K7" s="67"/>
      <c r="L7" s="67"/>
      <c r="M7" s="67"/>
    </row>
    <row r="8" spans="1:13" x14ac:dyDescent="0.3">
      <c r="A8" s="265" t="s">
        <v>78</v>
      </c>
      <c r="B8" s="365">
        <f>+B7/B9</f>
        <v>1303576.4314237444</v>
      </c>
      <c r="C8" s="263"/>
      <c r="D8" s="366"/>
      <c r="E8" s="267"/>
      <c r="F8" s="266"/>
      <c r="G8" s="55"/>
      <c r="H8" s="55"/>
      <c r="I8" s="67"/>
      <c r="J8" s="67"/>
      <c r="K8" s="67"/>
      <c r="L8" s="67"/>
      <c r="M8" s="67"/>
    </row>
    <row r="9" spans="1:13" x14ac:dyDescent="0.3">
      <c r="A9" s="265" t="s">
        <v>73</v>
      </c>
      <c r="B9" s="365">
        <v>6511</v>
      </c>
      <c r="C9" s="263"/>
      <c r="D9" s="364"/>
      <c r="E9" s="267"/>
      <c r="F9" s="266"/>
      <c r="G9" s="55"/>
      <c r="H9" s="55"/>
      <c r="I9" s="67"/>
      <c r="J9" s="67"/>
      <c r="K9" s="67"/>
      <c r="L9" s="67"/>
      <c r="M9" s="67"/>
    </row>
    <row r="10" spans="1:13" ht="13.5" customHeight="1" x14ac:dyDescent="0.3">
      <c r="A10" s="265" t="s">
        <v>79</v>
      </c>
      <c r="B10" s="338">
        <v>8.8999999999999999E-3</v>
      </c>
      <c r="C10" s="263"/>
      <c r="D10" s="268"/>
      <c r="E10" s="267"/>
      <c r="F10" s="266"/>
      <c r="G10" s="55"/>
      <c r="H10" s="55"/>
      <c r="I10" s="67"/>
      <c r="J10" s="67"/>
      <c r="K10" s="67"/>
      <c r="L10" s="67"/>
      <c r="M10" s="67"/>
    </row>
    <row r="11" spans="1:13" x14ac:dyDescent="0.3">
      <c r="A11" s="265" t="s">
        <v>74</v>
      </c>
      <c r="B11" s="365">
        <v>46</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6337</v>
      </c>
      <c r="C13" s="348"/>
      <c r="D13" s="349"/>
      <c r="E13" s="350"/>
      <c r="F13" s="351"/>
      <c r="G13" s="352"/>
      <c r="H13" s="55"/>
      <c r="I13" s="362"/>
      <c r="J13" s="362"/>
      <c r="K13" s="67"/>
      <c r="L13" s="67"/>
      <c r="M13" s="67"/>
    </row>
    <row r="14" spans="1:13" x14ac:dyDescent="0.3">
      <c r="A14" s="265" t="s">
        <v>196</v>
      </c>
      <c r="B14" s="338">
        <v>0.52949999999999997</v>
      </c>
      <c r="C14" s="339"/>
      <c r="D14" s="268"/>
      <c r="E14" s="267"/>
      <c r="F14" s="351"/>
      <c r="G14" s="352"/>
      <c r="H14" s="55"/>
      <c r="I14" s="362"/>
      <c r="J14" s="362"/>
      <c r="K14" s="67"/>
      <c r="L14" s="67"/>
      <c r="M14" s="67"/>
    </row>
    <row r="15" spans="1:13" x14ac:dyDescent="0.3">
      <c r="A15" s="265" t="s">
        <v>83</v>
      </c>
      <c r="B15" s="269">
        <v>1</v>
      </c>
      <c r="C15" s="339"/>
      <c r="D15" s="349"/>
      <c r="E15" s="350"/>
      <c r="F15" s="351"/>
      <c r="G15" s="352"/>
      <c r="H15" s="55"/>
      <c r="I15" s="362"/>
      <c r="J15" s="362"/>
      <c r="K15" s="67"/>
      <c r="L15" s="67"/>
      <c r="M15" s="67"/>
    </row>
    <row r="16" spans="1:13" x14ac:dyDescent="0.3">
      <c r="A16" s="265" t="s">
        <v>86</v>
      </c>
      <c r="B16" s="269">
        <v>1</v>
      </c>
      <c r="C16" s="339"/>
      <c r="D16" s="349"/>
      <c r="E16" s="350"/>
      <c r="F16" s="351"/>
      <c r="G16" s="352"/>
      <c r="H16" s="55"/>
      <c r="I16" s="362"/>
      <c r="J16" s="362"/>
      <c r="K16" s="67"/>
      <c r="L16" s="67"/>
      <c r="M16" s="67"/>
    </row>
    <row r="17" spans="1:13" x14ac:dyDescent="0.3">
      <c r="A17" s="265" t="s">
        <v>84</v>
      </c>
      <c r="B17" s="265">
        <v>1E-4</v>
      </c>
      <c r="C17" s="339"/>
      <c r="D17" s="349"/>
      <c r="E17" s="350"/>
      <c r="F17" s="351"/>
      <c r="G17" s="352"/>
      <c r="H17" s="55"/>
      <c r="I17" s="362"/>
      <c r="J17" s="362"/>
      <c r="K17" s="67"/>
      <c r="L17" s="67"/>
      <c r="M17" s="67"/>
    </row>
    <row r="18" spans="1:13" x14ac:dyDescent="0.3">
      <c r="A18" s="265" t="s">
        <v>49</v>
      </c>
      <c r="B18" s="367">
        <v>1014822000</v>
      </c>
      <c r="C18" s="339"/>
      <c r="D18" s="348"/>
      <c r="E18" s="352"/>
      <c r="F18" s="353"/>
      <c r="G18" s="451"/>
      <c r="H18" s="368"/>
      <c r="I18" s="368"/>
      <c r="J18" s="189"/>
      <c r="K18" s="67"/>
      <c r="L18" s="67"/>
      <c r="M18" s="67"/>
    </row>
    <row r="19" spans="1:13" x14ac:dyDescent="0.3">
      <c r="A19" s="262" t="s">
        <v>80</v>
      </c>
      <c r="B19" s="369">
        <f>+B7+B18</f>
        <v>9502408145</v>
      </c>
      <c r="C19" s="339"/>
      <c r="D19" s="348" t="s">
        <v>234</v>
      </c>
      <c r="E19" s="435" t="s">
        <v>235</v>
      </c>
      <c r="F19" s="353"/>
      <c r="G19" s="452"/>
      <c r="H19" s="368"/>
      <c r="I19" s="368"/>
      <c r="J19" s="189"/>
      <c r="K19" s="67"/>
      <c r="L19" s="67"/>
      <c r="M19" s="67"/>
    </row>
    <row r="20" spans="1:13" x14ac:dyDescent="0.3">
      <c r="A20" s="341" t="s">
        <v>197</v>
      </c>
      <c r="B20" s="342">
        <f>($B$19-D20)/E20-1</f>
        <v>0.17402308299262592</v>
      </c>
      <c r="C20" s="339"/>
      <c r="D20" s="436">
        <v>30368779</v>
      </c>
      <c r="E20" s="435">
        <v>8068018000</v>
      </c>
      <c r="F20" s="453"/>
      <c r="G20" s="452"/>
      <c r="H20" s="368"/>
      <c r="I20" s="368"/>
      <c r="J20" s="189"/>
      <c r="K20" s="67"/>
      <c r="L20" s="67"/>
      <c r="M20" s="67"/>
    </row>
    <row r="21" spans="1:13" x14ac:dyDescent="0.3">
      <c r="A21" s="341" t="s">
        <v>198</v>
      </c>
      <c r="B21" s="342">
        <f>($B$19-D21)/E20-1</f>
        <v>0.12855249343766961</v>
      </c>
      <c r="C21" s="339"/>
      <c r="D21" s="455">
        <v>397226314</v>
      </c>
      <c r="E21" s="435"/>
      <c r="F21" s="353"/>
      <c r="G21" s="452"/>
      <c r="H21" s="368"/>
      <c r="I21" s="368"/>
      <c r="J21" s="189"/>
      <c r="K21" s="67"/>
      <c r="L21" s="67"/>
      <c r="M21" s="67"/>
    </row>
    <row r="22" spans="1:13" x14ac:dyDescent="0.3">
      <c r="A22" s="341" t="s">
        <v>233</v>
      </c>
      <c r="B22" s="342">
        <f>($B$19-D22)/E20-1</f>
        <v>6.6306438582561356E-2</v>
      </c>
      <c r="C22" s="339"/>
      <c r="D22" s="455">
        <v>899428605</v>
      </c>
      <c r="E22" s="435"/>
      <c r="F22" s="353"/>
      <c r="G22" s="452"/>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1981342355.0300014</v>
      </c>
      <c r="C28" s="373">
        <v>2779</v>
      </c>
      <c r="D28" s="196">
        <f t="shared" ref="D28:D39" si="0">B28/$B$40</f>
        <v>0.23344002891798801</v>
      </c>
      <c r="E28" s="355"/>
      <c r="F28" s="186"/>
      <c r="G28" s="186"/>
      <c r="H28" s="368"/>
      <c r="I28" s="374"/>
      <c r="J28" s="189"/>
      <c r="K28" s="67"/>
      <c r="L28" s="67"/>
      <c r="M28" s="67"/>
    </row>
    <row r="29" spans="1:13" ht="14.5" x14ac:dyDescent="0.35">
      <c r="A29" s="6" t="s">
        <v>7</v>
      </c>
      <c r="B29" s="372">
        <v>1338470886.76</v>
      </c>
      <c r="C29" s="373">
        <v>896</v>
      </c>
      <c r="D29" s="196">
        <f t="shared" si="0"/>
        <v>0.15769747298740219</v>
      </c>
      <c r="E29" s="355"/>
      <c r="F29" s="257"/>
      <c r="G29" s="257"/>
      <c r="H29" s="257"/>
      <c r="I29" s="257"/>
      <c r="J29" s="189"/>
      <c r="K29" s="67"/>
      <c r="L29" s="67"/>
      <c r="M29" s="67"/>
    </row>
    <row r="30" spans="1:13" ht="14.5" x14ac:dyDescent="0.35">
      <c r="A30" s="6" t="s">
        <v>8</v>
      </c>
      <c r="B30" s="372">
        <v>1877370990.5800002</v>
      </c>
      <c r="C30" s="373">
        <v>1126</v>
      </c>
      <c r="D30" s="196">
        <f t="shared" si="0"/>
        <v>0.2211902134016365</v>
      </c>
      <c r="E30" s="355"/>
      <c r="F30" s="259"/>
      <c r="G30" s="259"/>
      <c r="H30" s="259"/>
      <c r="I30" s="259"/>
      <c r="J30" s="189"/>
      <c r="K30" s="67"/>
      <c r="L30" s="67"/>
      <c r="M30" s="67"/>
    </row>
    <row r="31" spans="1:13" ht="14.5" x14ac:dyDescent="0.35">
      <c r="A31" s="6" t="s">
        <v>9</v>
      </c>
      <c r="B31" s="372">
        <v>2025313074.7099998</v>
      </c>
      <c r="C31" s="373">
        <v>1119</v>
      </c>
      <c r="D31" s="196">
        <f t="shared" si="0"/>
        <v>0.23862062077662627</v>
      </c>
      <c r="E31" s="355"/>
      <c r="F31" s="316"/>
      <c r="G31" s="317"/>
      <c r="H31" s="317"/>
      <c r="I31" s="176"/>
      <c r="J31" s="189"/>
      <c r="K31" s="67"/>
      <c r="L31" s="67"/>
      <c r="M31" s="67"/>
    </row>
    <row r="32" spans="1:13" ht="14.5" x14ac:dyDescent="0.35">
      <c r="A32" s="6" t="s">
        <v>140</v>
      </c>
      <c r="B32" s="372">
        <v>1085842463.1800001</v>
      </c>
      <c r="C32" s="373">
        <v>505</v>
      </c>
      <c r="D32" s="196">
        <f t="shared" si="0"/>
        <v>0.1279330123648825</v>
      </c>
      <c r="E32" s="355"/>
      <c r="F32" s="304"/>
      <c r="G32" s="368"/>
      <c r="H32" s="368"/>
      <c r="I32" s="263"/>
      <c r="J32" s="189"/>
      <c r="K32" s="67"/>
      <c r="L32" s="67"/>
      <c r="M32" s="67"/>
    </row>
    <row r="33" spans="1:15" ht="14.5" x14ac:dyDescent="0.35">
      <c r="A33" s="6" t="s">
        <v>141</v>
      </c>
      <c r="B33" s="372">
        <v>40714669.689999998</v>
      </c>
      <c r="C33" s="373">
        <v>24</v>
      </c>
      <c r="D33" s="196">
        <f t="shared" si="0"/>
        <v>4.796966887469588E-3</v>
      </c>
      <c r="E33" s="355"/>
      <c r="F33" s="304"/>
      <c r="G33" s="368"/>
      <c r="H33" s="368"/>
      <c r="I33" s="263"/>
      <c r="J33" s="345"/>
      <c r="K33" s="67"/>
      <c r="L33" s="67"/>
      <c r="M33" s="67"/>
    </row>
    <row r="34" spans="1:15" ht="14.5" x14ac:dyDescent="0.35">
      <c r="A34" s="6" t="s">
        <v>10</v>
      </c>
      <c r="B34" s="372">
        <v>14079472</v>
      </c>
      <c r="C34" s="373">
        <v>9</v>
      </c>
      <c r="D34" s="196">
        <f t="shared" si="0"/>
        <v>1.6588311164327961E-3</v>
      </c>
      <c r="E34" s="355"/>
      <c r="F34" s="304"/>
      <c r="G34" s="368"/>
      <c r="H34" s="368"/>
      <c r="I34" s="263"/>
      <c r="J34" s="362"/>
      <c r="K34" s="67"/>
      <c r="L34" s="67"/>
      <c r="M34" s="67"/>
    </row>
    <row r="35" spans="1:15" ht="14.5" x14ac:dyDescent="0.35">
      <c r="A35" s="6" t="s">
        <v>11</v>
      </c>
      <c r="B35" s="375">
        <v>5050841.51</v>
      </c>
      <c r="C35" s="376">
        <v>3</v>
      </c>
      <c r="D35" s="196">
        <f t="shared" si="0"/>
        <v>5.9508574334026225E-4</v>
      </c>
      <c r="E35" s="355"/>
      <c r="F35" s="304"/>
      <c r="G35" s="368"/>
      <c r="H35" s="368"/>
      <c r="I35" s="263"/>
      <c r="J35" s="67"/>
      <c r="K35" s="67"/>
      <c r="L35" s="67"/>
      <c r="M35" s="67"/>
    </row>
    <row r="36" spans="1:15" ht="14.5" x14ac:dyDescent="0.35">
      <c r="A36" s="6" t="s">
        <v>12</v>
      </c>
      <c r="B36" s="377">
        <v>28184081.560000002</v>
      </c>
      <c r="C36" s="378">
        <v>8</v>
      </c>
      <c r="D36" s="196">
        <f t="shared" si="0"/>
        <v>3.3206239182696469E-3</v>
      </c>
      <c r="E36" s="355"/>
      <c r="F36" s="304"/>
      <c r="G36" s="368"/>
      <c r="H36" s="368"/>
      <c r="I36" s="263"/>
      <c r="J36" s="67"/>
      <c r="K36" s="67"/>
      <c r="L36" s="67"/>
      <c r="M36" s="67"/>
    </row>
    <row r="37" spans="1:15" ht="14.5" x14ac:dyDescent="0.35">
      <c r="A37" s="6" t="s">
        <v>13</v>
      </c>
      <c r="B37" s="377">
        <v>2933582.64</v>
      </c>
      <c r="C37" s="378">
        <v>1</v>
      </c>
      <c r="D37" s="196">
        <f t="shared" si="0"/>
        <v>3.4563214912171916E-4</v>
      </c>
      <c r="E37" s="355"/>
      <c r="F37" s="304"/>
      <c r="G37" s="368"/>
      <c r="H37" s="368"/>
      <c r="I37" s="263"/>
      <c r="J37" s="67"/>
      <c r="K37" s="67"/>
      <c r="L37" s="67"/>
      <c r="M37" s="67"/>
    </row>
    <row r="38" spans="1:15" ht="14.5" x14ac:dyDescent="0.35">
      <c r="A38" s="6" t="s">
        <v>14</v>
      </c>
      <c r="B38" s="377">
        <v>8465944.9399999995</v>
      </c>
      <c r="C38" s="378">
        <v>3</v>
      </c>
      <c r="D38" s="196">
        <f t="shared" si="0"/>
        <v>9.9745025214573245E-4</v>
      </c>
      <c r="E38" s="355"/>
      <c r="F38" s="304"/>
      <c r="G38" s="368"/>
      <c r="H38" s="368"/>
      <c r="I38" s="263"/>
      <c r="J38" s="67"/>
      <c r="K38" s="67"/>
      <c r="L38" s="67"/>
      <c r="M38" s="67"/>
      <c r="O38" s="54"/>
    </row>
    <row r="39" spans="1:15" ht="15" thickBot="1" x14ac:dyDescent="0.4">
      <c r="A39" s="4" t="s">
        <v>15</v>
      </c>
      <c r="B39" s="379">
        <v>79817781.960000008</v>
      </c>
      <c r="C39" s="380">
        <v>38</v>
      </c>
      <c r="D39" s="192">
        <f t="shared" si="0"/>
        <v>9.4040614846846744E-3</v>
      </c>
      <c r="E39" s="355"/>
      <c r="F39" s="304"/>
      <c r="G39" s="374"/>
      <c r="H39" s="374"/>
      <c r="I39" s="263"/>
      <c r="J39" s="67"/>
      <c r="K39" s="67"/>
      <c r="L39" s="67"/>
      <c r="M39" s="67"/>
      <c r="O39" s="54"/>
    </row>
    <row r="40" spans="1:15" ht="15" thickTop="1" x14ac:dyDescent="0.35">
      <c r="A40" s="1" t="s">
        <v>1</v>
      </c>
      <c r="B40" s="18">
        <f>SUM(B28:B39)</f>
        <v>8487586144.5600023</v>
      </c>
      <c r="C40" s="381">
        <f>SUM(C28:C39)</f>
        <v>6511</v>
      </c>
      <c r="D40" s="344">
        <f>SUM(D28:D39)</f>
        <v>0.99999999999999978</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236305458.32999995</v>
      </c>
      <c r="C46" s="373">
        <v>2319</v>
      </c>
      <c r="D46" s="196">
        <f>B46/$B$40</f>
        <v>2.7841303087268995E-2</v>
      </c>
      <c r="E46" s="384"/>
      <c r="O46" s="54"/>
    </row>
    <row r="47" spans="1:15" x14ac:dyDescent="0.3">
      <c r="A47" s="6" t="s">
        <v>221</v>
      </c>
      <c r="B47" s="372">
        <v>807434348.53999996</v>
      </c>
      <c r="C47" s="373">
        <v>1060</v>
      </c>
      <c r="D47" s="196">
        <f t="shared" ref="D47:D49" si="1">B47/$B$40</f>
        <v>9.5131211016634395E-2</v>
      </c>
      <c r="E47" s="384"/>
      <c r="O47" s="54"/>
    </row>
    <row r="48" spans="1:15" x14ac:dyDescent="0.3">
      <c r="A48" s="6" t="s">
        <v>222</v>
      </c>
      <c r="B48" s="372">
        <v>3271321339.3900018</v>
      </c>
      <c r="C48" s="373">
        <v>2194</v>
      </c>
      <c r="D48" s="196">
        <f t="shared" si="1"/>
        <v>0.38542422824028816</v>
      </c>
      <c r="E48" s="384"/>
      <c r="O48" s="54"/>
    </row>
    <row r="49" spans="1:15" x14ac:dyDescent="0.3">
      <c r="A49" s="6" t="s">
        <v>223</v>
      </c>
      <c r="B49" s="372">
        <v>2604078964.7900014</v>
      </c>
      <c r="C49" s="373">
        <v>1085</v>
      </c>
      <c r="D49" s="196">
        <f t="shared" si="1"/>
        <v>0.30681031337267178</v>
      </c>
      <c r="E49" s="384"/>
      <c r="O49" s="54"/>
    </row>
    <row r="50" spans="1:15" ht="14" thickBot="1" x14ac:dyDescent="0.35">
      <c r="A50" s="4" t="s">
        <v>224</v>
      </c>
      <c r="B50" s="379">
        <v>1568446033.5099998</v>
      </c>
      <c r="C50" s="380">
        <v>409</v>
      </c>
      <c r="D50" s="192">
        <f>B50/$B$40</f>
        <v>0.18479294428313672</v>
      </c>
      <c r="E50" s="384"/>
      <c r="O50" s="54"/>
    </row>
    <row r="51" spans="1:15" ht="14" thickTop="1" x14ac:dyDescent="0.3">
      <c r="A51" s="1" t="s">
        <v>1</v>
      </c>
      <c r="B51" s="18">
        <f>SUM(B46:B50)</f>
        <v>8487586144.5600033</v>
      </c>
      <c r="C51" s="381">
        <f>SUM(C46:C50)</f>
        <v>7067</v>
      </c>
      <c r="D51" s="344">
        <f>SUM(D46:D50)</f>
        <v>1</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263485477.92000002</v>
      </c>
      <c r="C56" s="387">
        <v>104273918.31</v>
      </c>
      <c r="D56" s="387">
        <v>65907356.840000004</v>
      </c>
      <c r="E56" s="387">
        <v>56585657.490000002</v>
      </c>
      <c r="F56" s="387">
        <v>28436398.280000001</v>
      </c>
      <c r="G56" s="387">
        <v>8282147</v>
      </c>
      <c r="H56" s="387">
        <v>0</v>
      </c>
      <c r="I56" s="387">
        <v>0</v>
      </c>
      <c r="J56" s="387">
        <v>0</v>
      </c>
      <c r="K56" s="387">
        <v>0</v>
      </c>
      <c r="L56" s="387">
        <v>0</v>
      </c>
      <c r="M56" s="387">
        <v>0</v>
      </c>
      <c r="N56" s="447">
        <v>0</v>
      </c>
      <c r="O56" s="54"/>
    </row>
    <row r="57" spans="1:15" ht="14.5" x14ac:dyDescent="0.35">
      <c r="A57" s="154" t="s">
        <v>29</v>
      </c>
      <c r="B57" s="387">
        <f t="shared" ref="B57:B74" si="2">SUM(C57:N57)</f>
        <v>533147829.31999999</v>
      </c>
      <c r="C57" s="387">
        <v>106576370.97000001</v>
      </c>
      <c r="D57" s="387">
        <v>114170531.42</v>
      </c>
      <c r="E57" s="387">
        <v>129464595.72</v>
      </c>
      <c r="F57" s="387">
        <v>125305734.27</v>
      </c>
      <c r="G57" s="387">
        <v>53646976.010000005</v>
      </c>
      <c r="H57" s="387">
        <v>2052028</v>
      </c>
      <c r="I57" s="387">
        <v>0</v>
      </c>
      <c r="J57" s="387">
        <v>0</v>
      </c>
      <c r="K57" s="387">
        <v>0</v>
      </c>
      <c r="L57" s="387">
        <v>0</v>
      </c>
      <c r="M57" s="387">
        <v>0</v>
      </c>
      <c r="N57" s="448">
        <v>1931592.93</v>
      </c>
      <c r="O57" s="54"/>
    </row>
    <row r="58" spans="1:15" ht="14.5" x14ac:dyDescent="0.35">
      <c r="A58" s="154" t="s">
        <v>30</v>
      </c>
      <c r="B58" s="387">
        <f t="shared" si="2"/>
        <v>66950517.039999999</v>
      </c>
      <c r="C58" s="387">
        <v>23033925.609999999</v>
      </c>
      <c r="D58" s="387">
        <v>18918921.43</v>
      </c>
      <c r="E58" s="387">
        <v>1691927</v>
      </c>
      <c r="F58" s="387">
        <v>11197530</v>
      </c>
      <c r="G58" s="387">
        <v>9588909</v>
      </c>
      <c r="H58" s="387">
        <v>0</v>
      </c>
      <c r="I58" s="387">
        <v>0</v>
      </c>
      <c r="J58" s="387">
        <v>0</v>
      </c>
      <c r="K58" s="387">
        <v>0</v>
      </c>
      <c r="L58" s="387">
        <v>0</v>
      </c>
      <c r="M58" s="387">
        <v>0</v>
      </c>
      <c r="N58" s="448">
        <v>2519304</v>
      </c>
      <c r="O58" s="54"/>
    </row>
    <row r="59" spans="1:15" ht="14.5" x14ac:dyDescent="0.35">
      <c r="A59" s="154" t="s">
        <v>142</v>
      </c>
      <c r="B59" s="387">
        <f t="shared" si="2"/>
        <v>3833946.74</v>
      </c>
      <c r="C59" s="387">
        <v>293002</v>
      </c>
      <c r="D59" s="387">
        <v>0</v>
      </c>
      <c r="E59" s="387">
        <v>0</v>
      </c>
      <c r="F59" s="387">
        <v>1704524</v>
      </c>
      <c r="G59" s="387">
        <v>1836420.74</v>
      </c>
      <c r="H59" s="387">
        <v>0</v>
      </c>
      <c r="I59" s="387">
        <v>0</v>
      </c>
      <c r="J59" s="387">
        <v>0</v>
      </c>
      <c r="K59" s="387">
        <v>0</v>
      </c>
      <c r="L59" s="387">
        <v>0</v>
      </c>
      <c r="M59" s="387">
        <v>0</v>
      </c>
      <c r="N59" s="448">
        <v>0</v>
      </c>
      <c r="O59" s="54"/>
    </row>
    <row r="60" spans="1:15" ht="14.5" x14ac:dyDescent="0.35">
      <c r="A60" s="154" t="s">
        <v>31</v>
      </c>
      <c r="B60" s="387">
        <f t="shared" si="2"/>
        <v>20602503.030000001</v>
      </c>
      <c r="C60" s="387">
        <v>2324367.0300000003</v>
      </c>
      <c r="D60" s="387">
        <v>662419</v>
      </c>
      <c r="E60" s="387">
        <v>9615434</v>
      </c>
      <c r="F60" s="387">
        <v>8000283</v>
      </c>
      <c r="G60" s="387">
        <v>0</v>
      </c>
      <c r="H60" s="387">
        <v>0</v>
      </c>
      <c r="I60" s="387">
        <v>0</v>
      </c>
      <c r="J60" s="387">
        <v>0</v>
      </c>
      <c r="K60" s="387">
        <v>0</v>
      </c>
      <c r="L60" s="387">
        <v>0</v>
      </c>
      <c r="M60" s="387">
        <v>0</v>
      </c>
      <c r="N60" s="448">
        <v>0</v>
      </c>
      <c r="O60" s="54"/>
    </row>
    <row r="61" spans="1:15" ht="14.5" x14ac:dyDescent="0.35">
      <c r="A61" s="154" t="s">
        <v>32</v>
      </c>
      <c r="B61" s="387">
        <f t="shared" si="2"/>
        <v>941336318.66999996</v>
      </c>
      <c r="C61" s="387">
        <v>181645105.83999991</v>
      </c>
      <c r="D61" s="387">
        <v>120614030.88999999</v>
      </c>
      <c r="E61" s="387">
        <v>247727797.35999995</v>
      </c>
      <c r="F61" s="387">
        <v>244872934.48999998</v>
      </c>
      <c r="G61" s="387">
        <v>113641156.98</v>
      </c>
      <c r="H61" s="387">
        <v>6860541</v>
      </c>
      <c r="I61" s="387">
        <v>3534354</v>
      </c>
      <c r="J61" s="387">
        <v>0</v>
      </c>
      <c r="K61" s="387">
        <v>2149813</v>
      </c>
      <c r="L61" s="387">
        <v>0</v>
      </c>
      <c r="M61" s="387">
        <v>4847944.9399999995</v>
      </c>
      <c r="N61" s="448">
        <v>15442640.170000002</v>
      </c>
      <c r="O61" s="54"/>
    </row>
    <row r="62" spans="1:15" ht="14.5" x14ac:dyDescent="0.35">
      <c r="A62" s="154" t="s">
        <v>143</v>
      </c>
      <c r="B62" s="387">
        <f t="shared" si="2"/>
        <v>13146153.17</v>
      </c>
      <c r="C62" s="387">
        <v>1613320</v>
      </c>
      <c r="D62" s="387">
        <v>2188454</v>
      </c>
      <c r="E62" s="387">
        <v>0</v>
      </c>
      <c r="F62" s="387">
        <v>5902283.1699999999</v>
      </c>
      <c r="G62" s="387">
        <v>3442096</v>
      </c>
      <c r="H62" s="387">
        <v>0</v>
      </c>
      <c r="I62" s="387">
        <v>0</v>
      </c>
      <c r="J62" s="387">
        <v>0</v>
      </c>
      <c r="K62" s="387">
        <v>0</v>
      </c>
      <c r="L62" s="387">
        <v>0</v>
      </c>
      <c r="M62" s="387">
        <v>0</v>
      </c>
      <c r="N62" s="448">
        <v>0</v>
      </c>
      <c r="O62" s="54"/>
    </row>
    <row r="63" spans="1:15" ht="14.5" x14ac:dyDescent="0.35">
      <c r="A63" s="154" t="s">
        <v>33</v>
      </c>
      <c r="B63" s="387">
        <f t="shared" si="2"/>
        <v>6079116.8900000006</v>
      </c>
      <c r="C63" s="387">
        <v>412364.89</v>
      </c>
      <c r="D63" s="387">
        <v>0</v>
      </c>
      <c r="E63" s="387">
        <v>1551086</v>
      </c>
      <c r="F63" s="387">
        <v>1715666</v>
      </c>
      <c r="G63" s="387">
        <v>0</v>
      </c>
      <c r="H63" s="387">
        <v>0</v>
      </c>
      <c r="I63" s="387">
        <v>0</v>
      </c>
      <c r="J63" s="387">
        <v>0</v>
      </c>
      <c r="K63" s="387">
        <v>0</v>
      </c>
      <c r="L63" s="387">
        <v>0</v>
      </c>
      <c r="M63" s="387">
        <v>0</v>
      </c>
      <c r="N63" s="448">
        <v>2400000</v>
      </c>
      <c r="O63" s="54"/>
    </row>
    <row r="64" spans="1:15" ht="14.5" x14ac:dyDescent="0.35">
      <c r="A64" s="154" t="s">
        <v>34</v>
      </c>
      <c r="B64" s="387">
        <f t="shared" si="2"/>
        <v>18608172.859999999</v>
      </c>
      <c r="C64" s="387">
        <v>5712190.8599999994</v>
      </c>
      <c r="D64" s="387">
        <v>1661900</v>
      </c>
      <c r="E64" s="387">
        <v>2507276</v>
      </c>
      <c r="F64" s="387">
        <v>5697633</v>
      </c>
      <c r="G64" s="387">
        <v>3029173</v>
      </c>
      <c r="H64" s="387">
        <v>0</v>
      </c>
      <c r="I64" s="387">
        <v>0</v>
      </c>
      <c r="J64" s="387">
        <v>0</v>
      </c>
      <c r="K64" s="387">
        <v>0</v>
      </c>
      <c r="L64" s="387">
        <v>0</v>
      </c>
      <c r="M64" s="387">
        <v>0</v>
      </c>
      <c r="N64" s="448">
        <v>0</v>
      </c>
      <c r="O64" s="54"/>
    </row>
    <row r="65" spans="1:15" ht="14.5" x14ac:dyDescent="0.35">
      <c r="A65" s="154" t="s">
        <v>35</v>
      </c>
      <c r="B65" s="387">
        <f t="shared" si="2"/>
        <v>335139140.57999998</v>
      </c>
      <c r="C65" s="387">
        <v>140949995.62999997</v>
      </c>
      <c r="D65" s="387">
        <v>63321688.100000001</v>
      </c>
      <c r="E65" s="387">
        <v>71937672</v>
      </c>
      <c r="F65" s="387">
        <v>36175375</v>
      </c>
      <c r="G65" s="387">
        <v>10177732</v>
      </c>
      <c r="H65" s="387">
        <v>0</v>
      </c>
      <c r="I65" s="387">
        <v>0</v>
      </c>
      <c r="J65" s="387">
        <v>0</v>
      </c>
      <c r="K65" s="387">
        <v>6989677.8499999996</v>
      </c>
      <c r="L65" s="387">
        <v>0</v>
      </c>
      <c r="M65" s="387">
        <v>0</v>
      </c>
      <c r="N65" s="448">
        <v>5587000</v>
      </c>
      <c r="O65" s="54"/>
    </row>
    <row r="66" spans="1:15" ht="14.5" x14ac:dyDescent="0.35">
      <c r="A66" s="154" t="s">
        <v>36</v>
      </c>
      <c r="B66" s="387">
        <f t="shared" si="2"/>
        <v>3493272166.7900014</v>
      </c>
      <c r="C66" s="387">
        <v>739991927.06000042</v>
      </c>
      <c r="D66" s="387">
        <v>468796922.82999992</v>
      </c>
      <c r="E66" s="387">
        <v>762598467.83000016</v>
      </c>
      <c r="F66" s="387">
        <v>878838391.3100003</v>
      </c>
      <c r="G66" s="387">
        <v>563477229.1400001</v>
      </c>
      <c r="H66" s="387">
        <v>15932399.359999999</v>
      </c>
      <c r="I66" s="387">
        <v>3181910</v>
      </c>
      <c r="J66" s="387">
        <v>5050841.51</v>
      </c>
      <c r="K66" s="387">
        <v>19044590.710000001</v>
      </c>
      <c r="L66" s="387">
        <v>2933582.64</v>
      </c>
      <c r="M66" s="387">
        <v>0</v>
      </c>
      <c r="N66" s="448">
        <v>33425904.399999999</v>
      </c>
      <c r="O66" s="54"/>
    </row>
    <row r="67" spans="1:15" ht="14.5" x14ac:dyDescent="0.35">
      <c r="A67" s="154" t="s">
        <v>37</v>
      </c>
      <c r="B67" s="387">
        <f t="shared" si="2"/>
        <v>313406456.45999992</v>
      </c>
      <c r="C67" s="387">
        <v>84644198.799999982</v>
      </c>
      <c r="D67" s="387">
        <v>62184913.299999997</v>
      </c>
      <c r="E67" s="387">
        <v>50119693.859999992</v>
      </c>
      <c r="F67" s="387">
        <v>76071034.5</v>
      </c>
      <c r="G67" s="387">
        <v>40386616</v>
      </c>
      <c r="H67" s="387">
        <v>0</v>
      </c>
      <c r="I67" s="387">
        <v>0</v>
      </c>
      <c r="J67" s="387">
        <v>0</v>
      </c>
      <c r="K67" s="387">
        <v>0</v>
      </c>
      <c r="L67" s="387">
        <v>0</v>
      </c>
      <c r="M67" s="387">
        <v>0</v>
      </c>
      <c r="N67" s="448">
        <v>0</v>
      </c>
      <c r="O67" s="54"/>
    </row>
    <row r="68" spans="1:15" ht="14.5" x14ac:dyDescent="0.35">
      <c r="A68" s="154" t="s">
        <v>38</v>
      </c>
      <c r="B68" s="387">
        <f t="shared" si="2"/>
        <v>17883352.559999999</v>
      </c>
      <c r="C68" s="387">
        <v>5313972.13</v>
      </c>
      <c r="D68" s="387">
        <v>7882992.5</v>
      </c>
      <c r="E68" s="387">
        <v>1567220.47</v>
      </c>
      <c r="F68" s="387">
        <v>1307291</v>
      </c>
      <c r="G68" s="387">
        <v>0</v>
      </c>
      <c r="H68" s="387">
        <v>0</v>
      </c>
      <c r="I68" s="387">
        <v>0</v>
      </c>
      <c r="J68" s="387">
        <v>0</v>
      </c>
      <c r="K68" s="387">
        <v>0</v>
      </c>
      <c r="L68" s="387">
        <v>0</v>
      </c>
      <c r="M68" s="387">
        <v>0</v>
      </c>
      <c r="N68" s="448">
        <v>1811876.46</v>
      </c>
      <c r="O68" s="54"/>
    </row>
    <row r="69" spans="1:15" ht="14.5" x14ac:dyDescent="0.35">
      <c r="A69" s="154" t="s">
        <v>39</v>
      </c>
      <c r="B69" s="387">
        <f t="shared" si="2"/>
        <v>15333726.379999999</v>
      </c>
      <c r="C69" s="387">
        <v>2439892.38</v>
      </c>
      <c r="D69" s="387">
        <v>3787352</v>
      </c>
      <c r="E69" s="387">
        <v>5269468</v>
      </c>
      <c r="F69" s="387">
        <v>3837014</v>
      </c>
      <c r="G69" s="387">
        <v>0</v>
      </c>
      <c r="H69" s="387">
        <v>0</v>
      </c>
      <c r="I69" s="387">
        <v>0</v>
      </c>
      <c r="J69" s="387">
        <v>0</v>
      </c>
      <c r="K69" s="387">
        <v>0</v>
      </c>
      <c r="L69" s="387">
        <v>0</v>
      </c>
      <c r="M69" s="387">
        <v>0</v>
      </c>
      <c r="N69" s="448">
        <v>0</v>
      </c>
      <c r="O69" s="54"/>
    </row>
    <row r="70" spans="1:15" ht="14.5" x14ac:dyDescent="0.35">
      <c r="A70" s="154" t="s">
        <v>267</v>
      </c>
      <c r="B70" s="387">
        <f t="shared" si="2"/>
        <v>26606588.199999999</v>
      </c>
      <c r="C70" s="387">
        <v>7246312.2000000002</v>
      </c>
      <c r="D70" s="387">
        <v>5137995</v>
      </c>
      <c r="E70" s="387">
        <v>2550886</v>
      </c>
      <c r="F70" s="387">
        <v>9871395</v>
      </c>
      <c r="G70" s="387">
        <v>1800000</v>
      </c>
      <c r="H70" s="387">
        <v>0</v>
      </c>
      <c r="I70" s="387">
        <v>0</v>
      </c>
      <c r="J70" s="387">
        <v>0</v>
      </c>
      <c r="K70" s="387">
        <v>0</v>
      </c>
      <c r="L70" s="387">
        <v>0</v>
      </c>
      <c r="M70" s="387">
        <v>0</v>
      </c>
      <c r="N70" s="448">
        <v>0</v>
      </c>
      <c r="O70" s="54"/>
    </row>
    <row r="71" spans="1:15" ht="14.5" x14ac:dyDescent="0.35">
      <c r="A71" s="154" t="s">
        <v>40</v>
      </c>
      <c r="B71" s="387">
        <f t="shared" si="2"/>
        <v>2354125788.0700002</v>
      </c>
      <c r="C71" s="387">
        <v>556812976.90999997</v>
      </c>
      <c r="D71" s="387">
        <v>384320845.89999992</v>
      </c>
      <c r="E71" s="387">
        <v>511922309.85000008</v>
      </c>
      <c r="F71" s="387">
        <v>583913054.76999998</v>
      </c>
      <c r="G71" s="387">
        <v>273606227.31</v>
      </c>
      <c r="H71" s="387">
        <v>15869701.33</v>
      </c>
      <c r="I71" s="387">
        <v>7363208</v>
      </c>
      <c r="J71" s="387">
        <v>0</v>
      </c>
      <c r="K71" s="387">
        <v>0</v>
      </c>
      <c r="L71" s="387">
        <v>0</v>
      </c>
      <c r="M71" s="387">
        <v>3618000</v>
      </c>
      <c r="N71" s="448">
        <v>16699464</v>
      </c>
      <c r="O71" s="54"/>
    </row>
    <row r="72" spans="1:15" ht="14.5" x14ac:dyDescent="0.35">
      <c r="A72" s="154" t="s">
        <v>41</v>
      </c>
      <c r="B72" s="387">
        <f t="shared" si="2"/>
        <v>45976538.390000001</v>
      </c>
      <c r="C72" s="387">
        <v>11679772.469999999</v>
      </c>
      <c r="D72" s="387">
        <v>14533128</v>
      </c>
      <c r="E72" s="387">
        <v>17297105</v>
      </c>
      <c r="F72" s="387">
        <v>2466532.92</v>
      </c>
      <c r="G72" s="387">
        <v>0</v>
      </c>
      <c r="H72" s="387">
        <v>0</v>
      </c>
      <c r="I72" s="387">
        <v>0</v>
      </c>
      <c r="J72" s="387">
        <v>0</v>
      </c>
      <c r="K72" s="387">
        <v>0</v>
      </c>
      <c r="L72" s="387">
        <v>0</v>
      </c>
      <c r="M72" s="387">
        <v>0</v>
      </c>
      <c r="N72" s="448">
        <v>0</v>
      </c>
      <c r="O72" s="54"/>
    </row>
    <row r="73" spans="1:15" ht="14.5" x14ac:dyDescent="0.35">
      <c r="A73" s="154" t="s">
        <v>145</v>
      </c>
      <c r="B73" s="387">
        <f t="shared" si="2"/>
        <v>16145646.940000001</v>
      </c>
      <c r="C73" s="387">
        <v>5277420.9400000004</v>
      </c>
      <c r="D73" s="387">
        <v>2976052</v>
      </c>
      <c r="E73" s="387">
        <v>4964394</v>
      </c>
      <c r="F73" s="387">
        <v>0</v>
      </c>
      <c r="G73" s="387">
        <v>2927780</v>
      </c>
      <c r="H73" s="387">
        <v>0</v>
      </c>
      <c r="I73" s="387">
        <v>0</v>
      </c>
      <c r="J73" s="387">
        <v>0</v>
      </c>
      <c r="K73" s="387">
        <v>0</v>
      </c>
      <c r="L73" s="387">
        <v>0</v>
      </c>
      <c r="M73" s="387">
        <v>0</v>
      </c>
      <c r="N73" s="448">
        <v>0</v>
      </c>
      <c r="O73" s="54"/>
    </row>
    <row r="74" spans="1:15" ht="15" thickBot="1" x14ac:dyDescent="0.4">
      <c r="A74" s="154" t="s">
        <v>165</v>
      </c>
      <c r="B74" s="390">
        <f t="shared" si="2"/>
        <v>2506704.5499999998</v>
      </c>
      <c r="C74" s="390">
        <v>1101321</v>
      </c>
      <c r="D74" s="390">
        <v>1405383.55</v>
      </c>
      <c r="E74" s="390">
        <v>0</v>
      </c>
      <c r="F74" s="390">
        <v>0</v>
      </c>
      <c r="G74" s="390">
        <v>0</v>
      </c>
      <c r="H74" s="390">
        <v>0</v>
      </c>
      <c r="I74" s="390">
        <v>0</v>
      </c>
      <c r="J74" s="390">
        <v>0</v>
      </c>
      <c r="K74" s="390">
        <v>0</v>
      </c>
      <c r="L74" s="390">
        <v>0</v>
      </c>
      <c r="M74" s="390">
        <v>0</v>
      </c>
      <c r="N74" s="449">
        <v>0</v>
      </c>
      <c r="O74" s="54"/>
    </row>
    <row r="75" spans="1:15" ht="14" thickTop="1" x14ac:dyDescent="0.3">
      <c r="A75" s="45" t="s">
        <v>1</v>
      </c>
      <c r="B75" s="20">
        <f t="shared" ref="B75:N75" si="3">SUM(B56:B74)</f>
        <v>8487586144.5600023</v>
      </c>
      <c r="C75" s="20">
        <f t="shared" si="3"/>
        <v>1981342355.0300004</v>
      </c>
      <c r="D75" s="20">
        <f t="shared" si="3"/>
        <v>1338470886.7599998</v>
      </c>
      <c r="E75" s="20">
        <f t="shared" si="3"/>
        <v>1877370990.5800002</v>
      </c>
      <c r="F75" s="20">
        <f t="shared" si="3"/>
        <v>2025313074.7100003</v>
      </c>
      <c r="G75" s="20">
        <f t="shared" si="3"/>
        <v>1085842463.1800001</v>
      </c>
      <c r="H75" s="20">
        <f t="shared" si="3"/>
        <v>40714669.689999998</v>
      </c>
      <c r="I75" s="20">
        <f t="shared" si="3"/>
        <v>14079472</v>
      </c>
      <c r="J75" s="20">
        <f t="shared" si="3"/>
        <v>5050841.51</v>
      </c>
      <c r="K75" s="20">
        <f t="shared" si="3"/>
        <v>28184081.560000002</v>
      </c>
      <c r="L75" s="20">
        <f t="shared" si="3"/>
        <v>2933582.64</v>
      </c>
      <c r="M75" s="20">
        <f t="shared" si="3"/>
        <v>8465944.9399999995</v>
      </c>
      <c r="N75" s="20">
        <f t="shared" si="3"/>
        <v>79817781.960000008</v>
      </c>
      <c r="O75" s="54"/>
    </row>
    <row r="76" spans="1:15" x14ac:dyDescent="0.3">
      <c r="A76" s="37"/>
      <c r="B76" s="38"/>
      <c r="C76" s="38"/>
      <c r="D76" s="38"/>
      <c r="E76" s="38"/>
      <c r="F76" s="38"/>
      <c r="G76" s="38"/>
      <c r="H76" s="38"/>
      <c r="I76" s="392"/>
      <c r="J76" s="392"/>
      <c r="K76" s="392"/>
      <c r="L76" s="392"/>
      <c r="M76" s="392"/>
      <c r="N76" s="392"/>
      <c r="O76" s="54"/>
    </row>
    <row r="77" spans="1:15" x14ac:dyDescent="0.3">
      <c r="A77" s="37"/>
      <c r="B77" s="38"/>
      <c r="C77" s="38"/>
      <c r="D77" s="38">
        <v>-1</v>
      </c>
      <c r="E77" s="38"/>
      <c r="F77" s="38"/>
      <c r="G77" s="38"/>
      <c r="H77" s="38"/>
      <c r="I77" s="392"/>
      <c r="J77" s="392"/>
      <c r="K77" s="392"/>
      <c r="L77" s="392"/>
      <c r="M77" s="392"/>
      <c r="N77" s="392"/>
      <c r="O77" s="54"/>
    </row>
    <row r="78" spans="1:15" x14ac:dyDescent="0.3">
      <c r="O78" s="54"/>
    </row>
    <row r="79" spans="1:15" x14ac:dyDescent="0.3">
      <c r="A79" s="187" t="s">
        <v>226</v>
      </c>
      <c r="B79" s="187"/>
      <c r="C79" s="187"/>
      <c r="D79" s="187"/>
      <c r="E79" s="187"/>
      <c r="F79" s="187"/>
      <c r="G79" s="187"/>
      <c r="H79" s="187"/>
      <c r="I79" s="187"/>
      <c r="J79" s="187"/>
      <c r="K79" s="187"/>
      <c r="L79" s="187"/>
      <c r="M79" s="187"/>
      <c r="N79" s="187"/>
      <c r="O79" s="54"/>
    </row>
    <row r="80" spans="1:15"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c r="O80" s="185"/>
    </row>
    <row r="81" spans="1:16" x14ac:dyDescent="0.3">
      <c r="A81" s="12"/>
      <c r="B81" s="11"/>
      <c r="C81" s="13"/>
      <c r="D81" s="13"/>
      <c r="E81" s="17"/>
      <c r="F81" s="13"/>
      <c r="G81" s="13"/>
      <c r="H81" s="13"/>
      <c r="I81" s="13"/>
      <c r="J81" s="13"/>
      <c r="K81" s="13"/>
      <c r="L81" s="13"/>
      <c r="M81" s="13"/>
      <c r="N81" s="13"/>
      <c r="O81" s="54"/>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c r="O82" s="54"/>
    </row>
    <row r="83" spans="1:16" x14ac:dyDescent="0.3">
      <c r="A83" s="41" t="s">
        <v>182</v>
      </c>
      <c r="B83" s="437">
        <f>SUM(C83:N83)</f>
        <v>8486564330.5600023</v>
      </c>
      <c r="C83" s="394">
        <f>+C99-C84-C85-C86</f>
        <v>1981342355.0300014</v>
      </c>
      <c r="D83" s="394">
        <f t="shared" ref="D83:N83" si="4">+D99-D84-D85-D86</f>
        <v>1338470886.76</v>
      </c>
      <c r="E83" s="394">
        <f t="shared" si="4"/>
        <v>1876349176.5800002</v>
      </c>
      <c r="F83" s="394">
        <f t="shared" si="4"/>
        <v>2025313074.7099998</v>
      </c>
      <c r="G83" s="394">
        <f t="shared" si="4"/>
        <v>1085842463.1800001</v>
      </c>
      <c r="H83" s="394">
        <f t="shared" si="4"/>
        <v>40714669.689999998</v>
      </c>
      <c r="I83" s="394">
        <f t="shared" si="4"/>
        <v>14079472</v>
      </c>
      <c r="J83" s="394">
        <f t="shared" si="4"/>
        <v>5050841.51</v>
      </c>
      <c r="K83" s="394">
        <f t="shared" si="4"/>
        <v>28184081.559999999</v>
      </c>
      <c r="L83" s="394">
        <f t="shared" si="4"/>
        <v>2933582.64</v>
      </c>
      <c r="M83" s="394">
        <f t="shared" si="4"/>
        <v>8465944.9399999995</v>
      </c>
      <c r="N83" s="394">
        <f t="shared" si="4"/>
        <v>79817781.960000008</v>
      </c>
      <c r="O83" s="54"/>
    </row>
    <row r="84" spans="1:16" x14ac:dyDescent="0.3">
      <c r="A84" s="49" t="s">
        <v>183</v>
      </c>
      <c r="B84" s="397">
        <f t="shared" ref="B84:B86" si="5">SUM(C84:N84)</f>
        <v>0</v>
      </c>
      <c r="C84" s="395"/>
      <c r="D84" s="395">
        <v>0</v>
      </c>
      <c r="E84" s="395"/>
      <c r="F84" s="395"/>
      <c r="G84" s="395"/>
      <c r="H84" s="395"/>
      <c r="I84" s="398"/>
      <c r="J84" s="398"/>
      <c r="K84" s="398"/>
      <c r="L84" s="398"/>
      <c r="M84" s="398"/>
      <c r="N84" s="398"/>
      <c r="O84" s="399"/>
    </row>
    <row r="85" spans="1:16" x14ac:dyDescent="0.3">
      <c r="A85" s="42" t="s">
        <v>184</v>
      </c>
      <c r="B85" s="397">
        <f t="shared" si="5"/>
        <v>1021814</v>
      </c>
      <c r="C85" s="400"/>
      <c r="D85" s="400"/>
      <c r="E85" s="401">
        <v>1021814</v>
      </c>
      <c r="F85" s="395"/>
      <c r="G85" s="395"/>
      <c r="H85" s="395"/>
      <c r="I85" s="398"/>
      <c r="J85" s="398"/>
      <c r="K85" s="398"/>
      <c r="L85" s="398"/>
      <c r="M85" s="398"/>
      <c r="N85" s="402"/>
      <c r="O85" s="54"/>
    </row>
    <row r="86" spans="1:16" ht="14" thickBot="1" x14ac:dyDescent="0.35">
      <c r="A86" s="42" t="s">
        <v>185</v>
      </c>
      <c r="B86" s="397">
        <f t="shared" si="5"/>
        <v>0</v>
      </c>
      <c r="C86" s="400"/>
      <c r="D86" s="400"/>
      <c r="E86" s="401"/>
      <c r="F86" s="395"/>
      <c r="G86" s="395"/>
      <c r="H86" s="395"/>
      <c r="I86" s="398"/>
      <c r="J86" s="398"/>
      <c r="K86" s="398"/>
      <c r="L86" s="398"/>
      <c r="M86" s="398"/>
      <c r="N86" s="402"/>
      <c r="O86" s="54"/>
    </row>
    <row r="87" spans="1:16" ht="14" thickTop="1" x14ac:dyDescent="0.3">
      <c r="A87" s="44" t="s">
        <v>1</v>
      </c>
      <c r="B87" s="22">
        <f t="shared" ref="B87:N87" si="6">SUM(B83:B86)</f>
        <v>8487586144.5600023</v>
      </c>
      <c r="C87" s="22">
        <f t="shared" si="6"/>
        <v>1981342355.0300014</v>
      </c>
      <c r="D87" s="22">
        <f t="shared" si="6"/>
        <v>1338470886.76</v>
      </c>
      <c r="E87" s="22">
        <f t="shared" si="6"/>
        <v>1877370990.5800002</v>
      </c>
      <c r="F87" s="22">
        <f t="shared" si="6"/>
        <v>2025313074.7099998</v>
      </c>
      <c r="G87" s="22">
        <f t="shared" si="6"/>
        <v>1085842463.1800001</v>
      </c>
      <c r="H87" s="22">
        <f t="shared" si="6"/>
        <v>40714669.689999998</v>
      </c>
      <c r="I87" s="22">
        <f t="shared" si="6"/>
        <v>14079472</v>
      </c>
      <c r="J87" s="22">
        <f t="shared" si="6"/>
        <v>5050841.51</v>
      </c>
      <c r="K87" s="22">
        <f t="shared" si="6"/>
        <v>28184081.559999999</v>
      </c>
      <c r="L87" s="22">
        <f t="shared" si="6"/>
        <v>2933582.64</v>
      </c>
      <c r="M87" s="22">
        <f t="shared" si="6"/>
        <v>8465944.9399999995</v>
      </c>
      <c r="N87" s="23">
        <f t="shared" si="6"/>
        <v>79817781.960000008</v>
      </c>
      <c r="O87" s="54"/>
    </row>
    <row r="88" spans="1:16" x14ac:dyDescent="0.3">
      <c r="A88" s="26"/>
      <c r="B88" s="40"/>
      <c r="C88" s="40"/>
      <c r="D88" s="40"/>
      <c r="E88" s="40"/>
      <c r="F88" s="40"/>
      <c r="G88" s="40"/>
      <c r="H88" s="40"/>
      <c r="I88" s="40"/>
      <c r="J88" s="40"/>
      <c r="K88" s="40"/>
      <c r="L88" s="40"/>
      <c r="M88" s="40"/>
      <c r="N88" s="40"/>
      <c r="O88" s="54"/>
    </row>
    <row r="89" spans="1:16" x14ac:dyDescent="0.3">
      <c r="O89" s="54"/>
    </row>
    <row r="90" spans="1:16" x14ac:dyDescent="0.3">
      <c r="A90" s="187" t="s">
        <v>227</v>
      </c>
      <c r="B90" s="187"/>
      <c r="C90" s="187"/>
      <c r="D90" s="187"/>
      <c r="E90" s="187"/>
      <c r="F90" s="187"/>
      <c r="G90" s="187"/>
      <c r="H90" s="187"/>
      <c r="I90" s="187"/>
      <c r="J90" s="187"/>
      <c r="K90" s="187"/>
      <c r="L90" s="187"/>
      <c r="M90" s="187"/>
      <c r="N90" s="187"/>
      <c r="O90" s="5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c r="O91" s="54"/>
    </row>
    <row r="92" spans="1:16" x14ac:dyDescent="0.3">
      <c r="A92" s="46"/>
      <c r="B92" s="11"/>
      <c r="C92" s="13"/>
      <c r="D92" s="13"/>
      <c r="E92" s="17"/>
      <c r="F92" s="13"/>
      <c r="G92" s="13"/>
      <c r="H92" s="13"/>
      <c r="I92" s="13"/>
      <c r="J92" s="13"/>
      <c r="K92" s="13"/>
      <c r="L92" s="13"/>
      <c r="M92" s="13"/>
      <c r="N92" s="13"/>
      <c r="O92" s="185"/>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c r="O93" s="54"/>
    </row>
    <row r="94" spans="1:16" x14ac:dyDescent="0.3">
      <c r="A94" s="42" t="s">
        <v>62</v>
      </c>
      <c r="B94" s="393">
        <f>SUM(C94:N94)</f>
        <v>650611907.06999993</v>
      </c>
      <c r="C94" s="393">
        <v>95187620.849999979</v>
      </c>
      <c r="D94" s="393">
        <v>93216988.189999998</v>
      </c>
      <c r="E94" s="393">
        <v>162188382.80000001</v>
      </c>
      <c r="F94" s="393">
        <v>129486296.45</v>
      </c>
      <c r="G94" s="393">
        <v>170532618.78</v>
      </c>
      <c r="H94" s="393">
        <v>0</v>
      </c>
      <c r="I94" s="393">
        <v>0</v>
      </c>
      <c r="J94" s="393">
        <v>0</v>
      </c>
      <c r="K94" s="393">
        <v>0</v>
      </c>
      <c r="L94" s="393">
        <v>0</v>
      </c>
      <c r="M94" s="393">
        <v>0</v>
      </c>
      <c r="N94" s="393">
        <v>0</v>
      </c>
      <c r="O94" s="54"/>
    </row>
    <row r="95" spans="1:16" x14ac:dyDescent="0.3">
      <c r="A95" s="42" t="s">
        <v>63</v>
      </c>
      <c r="B95" s="397">
        <f t="shared" ref="B95:B98" si="7">SUM(C95:N95)</f>
        <v>1635114694.5999999</v>
      </c>
      <c r="C95" s="397">
        <v>239547186.42999998</v>
      </c>
      <c r="D95" s="397">
        <v>217101588.31999993</v>
      </c>
      <c r="E95" s="397">
        <v>396333125.63000005</v>
      </c>
      <c r="F95" s="397">
        <v>390288306.52999997</v>
      </c>
      <c r="G95" s="397">
        <v>363259398.69</v>
      </c>
      <c r="H95" s="397">
        <v>6288608</v>
      </c>
      <c r="I95" s="397">
        <v>0</v>
      </c>
      <c r="J95" s="397">
        <v>0</v>
      </c>
      <c r="K95" s="397">
        <v>0</v>
      </c>
      <c r="L95" s="397">
        <v>0</v>
      </c>
      <c r="M95" s="397">
        <v>0</v>
      </c>
      <c r="N95" s="397">
        <v>22296481</v>
      </c>
      <c r="O95" s="54"/>
    </row>
    <row r="96" spans="1:16" x14ac:dyDescent="0.3">
      <c r="A96" s="42" t="s">
        <v>64</v>
      </c>
      <c r="B96" s="397">
        <f t="shared" si="7"/>
        <v>1763819900.4099998</v>
      </c>
      <c r="C96" s="397">
        <v>276840545.31999993</v>
      </c>
      <c r="D96" s="397">
        <v>257546122.81000003</v>
      </c>
      <c r="E96" s="397">
        <v>421005757.30999994</v>
      </c>
      <c r="F96" s="397">
        <v>570073206.92999995</v>
      </c>
      <c r="G96" s="397">
        <v>209071738.86000001</v>
      </c>
      <c r="H96" s="397">
        <v>5515094.3300000001</v>
      </c>
      <c r="I96" s="397">
        <v>0</v>
      </c>
      <c r="J96" s="397">
        <v>0</v>
      </c>
      <c r="K96" s="397">
        <v>6989677.8499999996</v>
      </c>
      <c r="L96" s="397">
        <v>0</v>
      </c>
      <c r="M96" s="397">
        <v>3618000</v>
      </c>
      <c r="N96" s="397">
        <v>13159757</v>
      </c>
      <c r="O96" s="54"/>
    </row>
    <row r="97" spans="1:15" x14ac:dyDescent="0.3">
      <c r="A97" s="42" t="s">
        <v>65</v>
      </c>
      <c r="B97" s="397">
        <f t="shared" si="7"/>
        <v>2200096030.3299999</v>
      </c>
      <c r="C97" s="397">
        <v>483431836.38000011</v>
      </c>
      <c r="D97" s="397">
        <v>345082836.49000007</v>
      </c>
      <c r="E97" s="397">
        <v>470937913.28999996</v>
      </c>
      <c r="F97" s="397">
        <v>596429363.52999997</v>
      </c>
      <c r="G97" s="397">
        <v>248330494.40000001</v>
      </c>
      <c r="H97" s="397">
        <v>15492498</v>
      </c>
      <c r="I97" s="397">
        <v>6528347</v>
      </c>
      <c r="J97" s="397">
        <v>2783927</v>
      </c>
      <c r="K97" s="397">
        <v>10625695.85</v>
      </c>
      <c r="L97" s="397">
        <v>0</v>
      </c>
      <c r="M97" s="397">
        <v>0</v>
      </c>
      <c r="N97" s="397">
        <v>20453118.390000001</v>
      </c>
      <c r="O97" s="54"/>
    </row>
    <row r="98" spans="1:15" ht="14" thickBot="1" x14ac:dyDescent="0.35">
      <c r="A98" s="43" t="s">
        <v>66</v>
      </c>
      <c r="B98" s="409">
        <f t="shared" si="7"/>
        <v>2237943612.150002</v>
      </c>
      <c r="C98" s="409">
        <v>886335166.05000138</v>
      </c>
      <c r="D98" s="409">
        <v>425523350.94999999</v>
      </c>
      <c r="E98" s="409">
        <v>426905811.55000013</v>
      </c>
      <c r="F98" s="409">
        <v>339035901.26999998</v>
      </c>
      <c r="G98" s="409">
        <v>94648212.450000003</v>
      </c>
      <c r="H98" s="409">
        <v>13418469.359999999</v>
      </c>
      <c r="I98" s="409">
        <v>7551125</v>
      </c>
      <c r="J98" s="409">
        <v>2266914.5099999998</v>
      </c>
      <c r="K98" s="409">
        <v>10568707.859999999</v>
      </c>
      <c r="L98" s="409">
        <v>2933582.64</v>
      </c>
      <c r="M98" s="409">
        <v>4847944.9399999995</v>
      </c>
      <c r="N98" s="409">
        <v>23908425.57</v>
      </c>
      <c r="O98" s="54"/>
    </row>
    <row r="99" spans="1:15" ht="14" thickTop="1" x14ac:dyDescent="0.3">
      <c r="A99" s="42" t="s">
        <v>1</v>
      </c>
      <c r="B99" s="412">
        <f>SUM(B94:B98)</f>
        <v>8487586144.5600014</v>
      </c>
      <c r="C99" s="412">
        <f>SUM(C94:C98)</f>
        <v>1981342355.0300014</v>
      </c>
      <c r="D99" s="412">
        <f t="shared" ref="D99:N99" si="8">SUM(D94:D98)</f>
        <v>1338470886.76</v>
      </c>
      <c r="E99" s="412">
        <f t="shared" si="8"/>
        <v>1877370990.5800002</v>
      </c>
      <c r="F99" s="412">
        <f t="shared" si="8"/>
        <v>2025313074.7099998</v>
      </c>
      <c r="G99" s="412">
        <f t="shared" si="8"/>
        <v>1085842463.1800001</v>
      </c>
      <c r="H99" s="412">
        <f t="shared" si="8"/>
        <v>40714669.689999998</v>
      </c>
      <c r="I99" s="412">
        <f t="shared" si="8"/>
        <v>14079472</v>
      </c>
      <c r="J99" s="412">
        <f t="shared" si="8"/>
        <v>5050841.51</v>
      </c>
      <c r="K99" s="412">
        <f t="shared" si="8"/>
        <v>28184081.559999999</v>
      </c>
      <c r="L99" s="412">
        <f t="shared" si="8"/>
        <v>2933582.64</v>
      </c>
      <c r="M99" s="412">
        <f t="shared" si="8"/>
        <v>8465944.9399999995</v>
      </c>
      <c r="N99" s="412">
        <f t="shared" si="8"/>
        <v>79817781.960000008</v>
      </c>
      <c r="O99" s="399"/>
    </row>
    <row r="100" spans="1:15" x14ac:dyDescent="0.3">
      <c r="A100" s="26"/>
      <c r="B100" s="413"/>
      <c r="C100" s="413"/>
      <c r="D100" s="413"/>
      <c r="E100" s="413"/>
      <c r="F100" s="413"/>
      <c r="G100" s="413"/>
      <c r="H100" s="413"/>
      <c r="I100" s="413"/>
      <c r="J100" s="413"/>
      <c r="K100" s="413"/>
      <c r="L100" s="413"/>
      <c r="M100" s="413"/>
      <c r="N100" s="413"/>
      <c r="O100" s="55"/>
    </row>
    <row r="101" spans="1:15" x14ac:dyDescent="0.3">
      <c r="A101" s="67"/>
      <c r="O101" s="54"/>
    </row>
    <row r="102" spans="1:15" x14ac:dyDescent="0.3">
      <c r="A102" s="187" t="s">
        <v>228</v>
      </c>
      <c r="B102" s="187"/>
      <c r="C102" s="187"/>
      <c r="D102" s="187"/>
      <c r="E102" s="187"/>
      <c r="F102" s="187"/>
      <c r="G102" s="187"/>
      <c r="H102" s="187"/>
      <c r="I102" s="187"/>
      <c r="J102" s="187"/>
      <c r="K102" s="187"/>
      <c r="L102" s="187"/>
      <c r="M102" s="187"/>
      <c r="N102" s="187"/>
      <c r="O102" s="54"/>
    </row>
    <row r="103" spans="1:15" x14ac:dyDescent="0.3">
      <c r="A103" s="108"/>
      <c r="B103" s="110"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c r="O103" s="54"/>
    </row>
    <row r="104" spans="1:15" x14ac:dyDescent="0.3">
      <c r="A104" s="46"/>
      <c r="B104" s="13"/>
      <c r="C104" s="13"/>
      <c r="D104" s="13"/>
      <c r="E104" s="17"/>
      <c r="F104" s="13"/>
      <c r="G104" s="13"/>
      <c r="H104" s="13"/>
      <c r="I104" s="13"/>
      <c r="J104" s="13"/>
      <c r="K104" s="13"/>
      <c r="L104" s="13"/>
      <c r="M104" s="13"/>
      <c r="N104" s="13"/>
      <c r="O104" s="54"/>
    </row>
    <row r="105" spans="1:15" ht="27" x14ac:dyDescent="0.3">
      <c r="A105" s="47"/>
      <c r="B105" s="15" t="s">
        <v>4</v>
      </c>
      <c r="C105" s="15" t="s">
        <v>4</v>
      </c>
      <c r="D105" s="15" t="s">
        <v>4</v>
      </c>
      <c r="E105" s="14" t="s">
        <v>4</v>
      </c>
      <c r="F105" s="15" t="s">
        <v>4</v>
      </c>
      <c r="G105" s="15" t="s">
        <v>4</v>
      </c>
      <c r="H105" s="15" t="s">
        <v>4</v>
      </c>
      <c r="I105" s="15" t="s">
        <v>4</v>
      </c>
      <c r="J105" s="15" t="s">
        <v>4</v>
      </c>
      <c r="K105" s="15" t="s">
        <v>4</v>
      </c>
      <c r="L105" s="15" t="s">
        <v>4</v>
      </c>
      <c r="M105" s="15" t="s">
        <v>4</v>
      </c>
      <c r="N105" s="15" t="s">
        <v>4</v>
      </c>
      <c r="O105" s="54"/>
    </row>
    <row r="106" spans="1:15" ht="14.5" x14ac:dyDescent="0.35">
      <c r="A106" s="42" t="s">
        <v>201</v>
      </c>
      <c r="B106" s="393">
        <f>SUM(C106:N106)</f>
        <v>8464121522.9600019</v>
      </c>
      <c r="C106" s="414">
        <v>1967416184.4300013</v>
      </c>
      <c r="D106" s="387">
        <v>1337064848.7599998</v>
      </c>
      <c r="E106" s="414">
        <v>1873519996.5800004</v>
      </c>
      <c r="F106" s="387">
        <v>2023788392.7100003</v>
      </c>
      <c r="G106" s="414">
        <v>1083085726.1800003</v>
      </c>
      <c r="H106" s="387">
        <v>40714669.689999998</v>
      </c>
      <c r="I106" s="414">
        <v>14079472</v>
      </c>
      <c r="J106" s="387">
        <v>5050841.51</v>
      </c>
      <c r="K106" s="414">
        <v>28184081.560000002</v>
      </c>
      <c r="L106" s="387">
        <v>2933582.64</v>
      </c>
      <c r="M106" s="414">
        <v>8465944.9399999995</v>
      </c>
      <c r="N106" s="414">
        <v>79817781.960000023</v>
      </c>
      <c r="O106" s="54"/>
    </row>
    <row r="107" spans="1:15" ht="14.5" x14ac:dyDescent="0.35">
      <c r="A107" s="42" t="s">
        <v>202</v>
      </c>
      <c r="B107" s="397">
        <f t="shared" ref="B107:B109" si="9">SUM(C107:N107)</f>
        <v>15270101.6</v>
      </c>
      <c r="C107" s="415">
        <v>8488387.5999999996</v>
      </c>
      <c r="D107" s="387">
        <v>1406038</v>
      </c>
      <c r="E107" s="415">
        <v>3850994</v>
      </c>
      <c r="F107" s="387">
        <v>1524682</v>
      </c>
      <c r="G107" s="415">
        <v>0</v>
      </c>
      <c r="H107" s="387">
        <v>0</v>
      </c>
      <c r="I107" s="415">
        <v>0</v>
      </c>
      <c r="J107" s="387">
        <v>0</v>
      </c>
      <c r="K107" s="415">
        <v>0</v>
      </c>
      <c r="L107" s="387">
        <v>0</v>
      </c>
      <c r="M107" s="415">
        <v>0</v>
      </c>
      <c r="N107" s="415">
        <v>0</v>
      </c>
      <c r="O107" s="54"/>
    </row>
    <row r="108" spans="1:15" x14ac:dyDescent="0.3">
      <c r="A108" s="42" t="s">
        <v>58</v>
      </c>
      <c r="B108" s="397">
        <f t="shared" si="9"/>
        <v>7385812</v>
      </c>
      <c r="C108" s="416">
        <v>4629075</v>
      </c>
      <c r="D108" s="417">
        <v>0</v>
      </c>
      <c r="E108" s="416">
        <v>0</v>
      </c>
      <c r="F108" s="417">
        <v>0</v>
      </c>
      <c r="G108" s="416">
        <v>2756737</v>
      </c>
      <c r="H108" s="418">
        <v>0</v>
      </c>
      <c r="I108" s="419">
        <v>0</v>
      </c>
      <c r="J108" s="420">
        <v>0</v>
      </c>
      <c r="K108" s="419">
        <v>0</v>
      </c>
      <c r="L108" s="420">
        <v>0</v>
      </c>
      <c r="M108" s="419">
        <v>0</v>
      </c>
      <c r="N108" s="419">
        <v>0</v>
      </c>
      <c r="O108" s="54"/>
    </row>
    <row r="109" spans="1:15" ht="14" thickBot="1" x14ac:dyDescent="0.35">
      <c r="A109" s="43" t="s">
        <v>203</v>
      </c>
      <c r="B109" s="397">
        <f t="shared" si="9"/>
        <v>808708</v>
      </c>
      <c r="C109" s="422">
        <v>808708</v>
      </c>
      <c r="D109" s="417">
        <v>0</v>
      </c>
      <c r="E109" s="422">
        <v>0</v>
      </c>
      <c r="F109" s="417">
        <v>0</v>
      </c>
      <c r="G109" s="422">
        <v>0</v>
      </c>
      <c r="H109" s="418">
        <v>0</v>
      </c>
      <c r="I109" s="423">
        <v>0</v>
      </c>
      <c r="J109" s="420">
        <v>0</v>
      </c>
      <c r="K109" s="423">
        <v>0</v>
      </c>
      <c r="L109" s="420">
        <v>0</v>
      </c>
      <c r="M109" s="423">
        <v>0</v>
      </c>
      <c r="N109" s="424">
        <v>0</v>
      </c>
      <c r="O109" s="54"/>
    </row>
    <row r="110" spans="1:15" ht="14" thickTop="1" x14ac:dyDescent="0.3">
      <c r="A110" s="42" t="s">
        <v>1</v>
      </c>
      <c r="B110" s="97">
        <f>SUM(B106:B109)</f>
        <v>8487586144.5600023</v>
      </c>
      <c r="C110" s="97">
        <f>SUM(C106:C109)</f>
        <v>1981342355.0300012</v>
      </c>
      <c r="D110" s="97">
        <f t="shared" ref="D110:N110" si="10">SUM(D106:D109)</f>
        <v>1338470886.7599998</v>
      </c>
      <c r="E110" s="97">
        <f t="shared" si="10"/>
        <v>1877370990.5800004</v>
      </c>
      <c r="F110" s="97">
        <f t="shared" si="10"/>
        <v>2025313074.7100003</v>
      </c>
      <c r="G110" s="97">
        <f t="shared" si="10"/>
        <v>1085842463.1800003</v>
      </c>
      <c r="H110" s="97">
        <f t="shared" si="10"/>
        <v>40714669.689999998</v>
      </c>
      <c r="I110" s="97">
        <f t="shared" si="10"/>
        <v>14079472</v>
      </c>
      <c r="J110" s="97">
        <f t="shared" si="10"/>
        <v>5050841.51</v>
      </c>
      <c r="K110" s="97">
        <f t="shared" si="10"/>
        <v>28184081.560000002</v>
      </c>
      <c r="L110" s="97">
        <f t="shared" si="10"/>
        <v>2933582.64</v>
      </c>
      <c r="M110" s="97">
        <f t="shared" si="10"/>
        <v>8465944.9399999995</v>
      </c>
      <c r="N110" s="97">
        <f t="shared" si="10"/>
        <v>79817781.960000023</v>
      </c>
      <c r="O110" s="54"/>
    </row>
    <row r="111" spans="1:15" x14ac:dyDescent="0.3">
      <c r="A111" s="26"/>
      <c r="B111" s="99"/>
      <c r="C111" s="99"/>
      <c r="D111" s="99"/>
      <c r="E111" s="99"/>
      <c r="F111" s="99"/>
      <c r="G111" s="99"/>
      <c r="H111" s="99"/>
      <c r="I111" s="99"/>
      <c r="J111" s="99"/>
      <c r="K111" s="99"/>
      <c r="L111" s="99"/>
      <c r="M111" s="99"/>
      <c r="N111" s="99"/>
    </row>
    <row r="113" spans="1:15" x14ac:dyDescent="0.3">
      <c r="A113" s="187" t="s">
        <v>229</v>
      </c>
      <c r="B113" s="187"/>
      <c r="C113" s="187"/>
      <c r="D113" s="187"/>
      <c r="E113" s="187"/>
      <c r="F113" s="187"/>
      <c r="G113" s="187"/>
      <c r="H113" s="187"/>
      <c r="I113" s="187"/>
      <c r="J113" s="187"/>
      <c r="K113" s="187"/>
      <c r="L113" s="187"/>
      <c r="M113" s="187"/>
      <c r="N113" s="187"/>
      <c r="O113" s="5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c r="O114" s="54"/>
    </row>
    <row r="115" spans="1:15" x14ac:dyDescent="0.3">
      <c r="A115" s="48"/>
      <c r="B115" s="11"/>
      <c r="C115" s="13"/>
      <c r="D115" s="13"/>
      <c r="E115" s="17"/>
      <c r="F115" s="13"/>
      <c r="G115" s="13"/>
      <c r="H115" s="13"/>
      <c r="I115" s="13"/>
      <c r="J115" s="13"/>
      <c r="K115" s="13"/>
      <c r="L115" s="13"/>
      <c r="M115" s="13"/>
      <c r="N115" s="13"/>
      <c r="O115" s="54"/>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c r="O116" s="54"/>
    </row>
    <row r="117" spans="1:15" x14ac:dyDescent="0.3">
      <c r="A117" s="42" t="s">
        <v>57</v>
      </c>
      <c r="B117" s="394">
        <f>SUM(C117:N117)</f>
        <v>8487586144.5600014</v>
      </c>
      <c r="C117" s="394">
        <f>+C110</f>
        <v>1981342355.0300012</v>
      </c>
      <c r="D117" s="394">
        <f t="shared" ref="D117:N117" si="11">+D110</f>
        <v>1338470886.7599998</v>
      </c>
      <c r="E117" s="394">
        <f t="shared" si="11"/>
        <v>1877370990.5800004</v>
      </c>
      <c r="F117" s="394">
        <f t="shared" si="11"/>
        <v>2025313074.7100003</v>
      </c>
      <c r="G117" s="394">
        <f t="shared" si="11"/>
        <v>1085842463.1800003</v>
      </c>
      <c r="H117" s="394">
        <f t="shared" si="11"/>
        <v>40714669.689999998</v>
      </c>
      <c r="I117" s="394">
        <f t="shared" si="11"/>
        <v>14079472</v>
      </c>
      <c r="J117" s="394">
        <f t="shared" si="11"/>
        <v>5050841.51</v>
      </c>
      <c r="K117" s="394">
        <f t="shared" si="11"/>
        <v>28184081.560000002</v>
      </c>
      <c r="L117" s="394">
        <f t="shared" si="11"/>
        <v>2933582.64</v>
      </c>
      <c r="M117" s="394">
        <f t="shared" si="11"/>
        <v>8465944.9399999995</v>
      </c>
      <c r="N117" s="394">
        <f t="shared" si="11"/>
        <v>79817781.960000023</v>
      </c>
      <c r="O117" s="399"/>
    </row>
    <row r="118" spans="1:15" x14ac:dyDescent="0.3">
      <c r="A118" s="42" t="s">
        <v>67</v>
      </c>
      <c r="B118" s="100"/>
      <c r="C118" s="417"/>
      <c r="D118" s="417"/>
      <c r="E118" s="417"/>
      <c r="F118" s="417"/>
      <c r="G118" s="417"/>
      <c r="H118" s="417"/>
      <c r="I118" s="425"/>
      <c r="J118" s="425"/>
      <c r="K118" s="425"/>
      <c r="L118" s="425"/>
      <c r="M118" s="425"/>
      <c r="N118" s="425"/>
      <c r="O118" s="399"/>
    </row>
    <row r="119" spans="1:15" x14ac:dyDescent="0.3">
      <c r="A119" s="42" t="s">
        <v>68</v>
      </c>
      <c r="B119" s="100"/>
      <c r="C119" s="417"/>
      <c r="D119" s="417"/>
      <c r="E119" s="417"/>
      <c r="F119" s="417"/>
      <c r="G119" s="417"/>
      <c r="H119" s="417"/>
      <c r="I119" s="425"/>
      <c r="J119" s="425"/>
      <c r="K119" s="425"/>
      <c r="L119" s="425"/>
      <c r="M119" s="425"/>
      <c r="N119" s="425"/>
      <c r="O119" s="399"/>
    </row>
    <row r="120" spans="1:15" ht="14" thickBot="1" x14ac:dyDescent="0.35">
      <c r="A120" s="43" t="s">
        <v>69</v>
      </c>
      <c r="B120" s="93"/>
      <c r="C120" s="426"/>
      <c r="D120" s="426"/>
      <c r="E120" s="426"/>
      <c r="F120" s="426"/>
      <c r="G120" s="426"/>
      <c r="H120" s="426"/>
      <c r="I120" s="427"/>
      <c r="J120" s="427"/>
      <c r="K120" s="427"/>
      <c r="L120" s="427"/>
      <c r="M120" s="427"/>
      <c r="N120" s="427"/>
      <c r="O120" s="399"/>
    </row>
    <row r="121" spans="1:15" ht="14" thickTop="1" x14ac:dyDescent="0.3">
      <c r="A121" s="42" t="s">
        <v>1</v>
      </c>
      <c r="B121" s="97">
        <f>SUM(B117:B120)</f>
        <v>8487586144.5600014</v>
      </c>
      <c r="C121" s="97">
        <f>SUM(C117:C120)</f>
        <v>1981342355.0300012</v>
      </c>
      <c r="D121" s="97">
        <f t="shared" ref="D121:N121" si="12">SUM(D117:D120)</f>
        <v>1338470886.7599998</v>
      </c>
      <c r="E121" s="97">
        <f t="shared" si="12"/>
        <v>1877370990.5800004</v>
      </c>
      <c r="F121" s="97">
        <f t="shared" si="12"/>
        <v>2025313074.7100003</v>
      </c>
      <c r="G121" s="97">
        <f t="shared" si="12"/>
        <v>1085842463.1800003</v>
      </c>
      <c r="H121" s="97">
        <f t="shared" si="12"/>
        <v>40714669.689999998</v>
      </c>
      <c r="I121" s="97">
        <f t="shared" si="12"/>
        <v>14079472</v>
      </c>
      <c r="J121" s="97">
        <f t="shared" si="12"/>
        <v>5050841.51</v>
      </c>
      <c r="K121" s="97">
        <f t="shared" si="12"/>
        <v>28184081.560000002</v>
      </c>
      <c r="L121" s="97">
        <f t="shared" si="12"/>
        <v>2933582.64</v>
      </c>
      <c r="M121" s="97">
        <f t="shared" si="12"/>
        <v>8465944.9399999995</v>
      </c>
      <c r="N121" s="97">
        <f t="shared" si="12"/>
        <v>79817781.960000023</v>
      </c>
      <c r="O121" s="399"/>
    </row>
    <row r="122" spans="1:15" x14ac:dyDescent="0.3">
      <c r="A122" s="26"/>
      <c r="B122" s="99"/>
      <c r="C122" s="99"/>
      <c r="D122" s="99"/>
      <c r="E122" s="99"/>
      <c r="F122" s="99"/>
      <c r="G122" s="99"/>
      <c r="H122" s="99"/>
      <c r="I122" s="99"/>
      <c r="J122" s="99"/>
      <c r="K122" s="99"/>
      <c r="L122" s="99"/>
      <c r="M122" s="99"/>
      <c r="N122" s="99"/>
      <c r="O122" s="55"/>
    </row>
    <row r="123" spans="1:15" x14ac:dyDescent="0.3">
      <c r="O123" s="54"/>
    </row>
    <row r="124" spans="1:15" x14ac:dyDescent="0.3">
      <c r="A124" s="187" t="s">
        <v>230</v>
      </c>
      <c r="B124" s="187"/>
      <c r="C124" s="187"/>
      <c r="D124" s="187"/>
      <c r="E124" s="187"/>
      <c r="F124" s="187"/>
      <c r="G124" s="187"/>
      <c r="H124" s="187"/>
      <c r="I124" s="187"/>
      <c r="J124" s="54"/>
    </row>
    <row r="125" spans="1:15" ht="40.5" x14ac:dyDescent="0.3">
      <c r="A125" s="109" t="s">
        <v>50</v>
      </c>
      <c r="B125" s="109" t="s">
        <v>51</v>
      </c>
      <c r="C125" s="149" t="s">
        <v>204</v>
      </c>
      <c r="D125" s="149" t="s">
        <v>59</v>
      </c>
      <c r="E125" s="149" t="s">
        <v>61</v>
      </c>
      <c r="F125" s="149" t="s">
        <v>53</v>
      </c>
      <c r="G125" s="150" t="s">
        <v>60</v>
      </c>
      <c r="H125" s="151" t="s">
        <v>54</v>
      </c>
      <c r="I125" s="150" t="s">
        <v>55</v>
      </c>
      <c r="J125" s="54"/>
    </row>
    <row r="126" spans="1:15" x14ac:dyDescent="0.3">
      <c r="A126" s="42" t="s">
        <v>200</v>
      </c>
      <c r="B126" s="70" t="s">
        <v>3</v>
      </c>
      <c r="C126" s="419">
        <v>270000000</v>
      </c>
      <c r="D126" s="309">
        <v>43438</v>
      </c>
      <c r="E126" s="309">
        <v>43803</v>
      </c>
      <c r="F126" s="143" t="s">
        <v>58</v>
      </c>
      <c r="G126" s="143" t="s">
        <v>109</v>
      </c>
      <c r="H126" s="309">
        <v>41521</v>
      </c>
      <c r="I126" s="143">
        <v>11</v>
      </c>
      <c r="J126" s="54"/>
    </row>
    <row r="127" spans="1:15" x14ac:dyDescent="0.3">
      <c r="A127" s="42" t="s">
        <v>206</v>
      </c>
      <c r="B127" s="70" t="s">
        <v>3</v>
      </c>
      <c r="C127" s="419">
        <v>848000000</v>
      </c>
      <c r="D127" s="277">
        <v>43640</v>
      </c>
      <c r="E127" s="277">
        <v>44006</v>
      </c>
      <c r="F127" s="101" t="s">
        <v>56</v>
      </c>
      <c r="G127" s="101" t="s">
        <v>108</v>
      </c>
      <c r="H127" s="309">
        <v>41663</v>
      </c>
      <c r="I127" s="143">
        <v>12</v>
      </c>
      <c r="J127" s="54"/>
    </row>
    <row r="128" spans="1:15" x14ac:dyDescent="0.3">
      <c r="A128" s="42" t="s">
        <v>207</v>
      </c>
      <c r="B128" s="70" t="s">
        <v>3</v>
      </c>
      <c r="C128" s="419">
        <v>2000000000</v>
      </c>
      <c r="D128" s="277">
        <v>44315</v>
      </c>
      <c r="E128" s="277">
        <v>44680</v>
      </c>
      <c r="F128" s="101" t="s">
        <v>56</v>
      </c>
      <c r="G128" s="101" t="s">
        <v>108</v>
      </c>
      <c r="H128" s="309">
        <v>41521</v>
      </c>
      <c r="I128" s="143">
        <v>13</v>
      </c>
      <c r="J128" s="54"/>
    </row>
    <row r="129" spans="1:14" x14ac:dyDescent="0.3">
      <c r="A129" s="42" t="s">
        <v>250</v>
      </c>
      <c r="B129" s="70" t="s">
        <v>3</v>
      </c>
      <c r="C129" s="425">
        <v>200000000</v>
      </c>
      <c r="D129" s="277">
        <v>44522</v>
      </c>
      <c r="E129" s="277">
        <v>44887</v>
      </c>
      <c r="F129" s="101" t="s">
        <v>58</v>
      </c>
      <c r="G129" s="101" t="s">
        <v>109</v>
      </c>
      <c r="H129" s="309">
        <v>42696</v>
      </c>
      <c r="I129" s="143">
        <v>14</v>
      </c>
      <c r="J129" s="54"/>
    </row>
    <row r="130" spans="1:14" x14ac:dyDescent="0.3">
      <c r="A130" s="42" t="s">
        <v>251</v>
      </c>
      <c r="B130" s="70" t="s">
        <v>3</v>
      </c>
      <c r="C130" s="425">
        <v>2000000000</v>
      </c>
      <c r="D130" s="277">
        <v>44708</v>
      </c>
      <c r="E130" s="277">
        <v>45073</v>
      </c>
      <c r="F130" s="101" t="s">
        <v>56</v>
      </c>
      <c r="G130" s="101" t="s">
        <v>108</v>
      </c>
      <c r="H130" s="309">
        <v>42913</v>
      </c>
      <c r="I130" s="143">
        <v>15</v>
      </c>
      <c r="J130" s="54"/>
    </row>
    <row r="131" spans="1:14" x14ac:dyDescent="0.3">
      <c r="A131" s="42" t="s">
        <v>268</v>
      </c>
      <c r="B131" s="70" t="s">
        <v>3</v>
      </c>
      <c r="C131" s="425">
        <v>750000000</v>
      </c>
      <c r="D131" s="277">
        <v>44124</v>
      </c>
      <c r="E131" s="277">
        <v>44489</v>
      </c>
      <c r="F131" s="101" t="s">
        <v>56</v>
      </c>
      <c r="G131" s="101" t="s">
        <v>108</v>
      </c>
      <c r="H131" s="309">
        <v>43147</v>
      </c>
      <c r="I131" s="143">
        <v>16</v>
      </c>
      <c r="J131" s="54"/>
    </row>
    <row r="132" spans="1:14" ht="14" thickBot="1" x14ac:dyDescent="0.35">
      <c r="A132" s="43" t="s">
        <v>270</v>
      </c>
      <c r="B132" s="169" t="s">
        <v>3</v>
      </c>
      <c r="C132" s="427">
        <v>2000000000</v>
      </c>
      <c r="D132" s="275">
        <v>45089</v>
      </c>
      <c r="E132" s="275">
        <v>45455</v>
      </c>
      <c r="F132" s="172" t="s">
        <v>56</v>
      </c>
      <c r="G132" s="171" t="s">
        <v>108</v>
      </c>
      <c r="H132" s="278">
        <v>43353</v>
      </c>
      <c r="I132" s="172">
        <v>17</v>
      </c>
      <c r="J132" s="54"/>
    </row>
    <row r="133" spans="1:14" ht="14" thickTop="1" x14ac:dyDescent="0.3">
      <c r="A133" s="26"/>
      <c r="B133" s="67"/>
      <c r="C133" s="367">
        <f>SUM(C126:C132)</f>
        <v>8068000000</v>
      </c>
      <c r="D133" s="429"/>
      <c r="E133" s="429"/>
      <c r="F133" s="105"/>
      <c r="G133" s="105"/>
      <c r="H133" s="429"/>
      <c r="I133" s="105"/>
      <c r="J133" s="54"/>
    </row>
    <row r="134" spans="1:14" s="67" customFormat="1" x14ac:dyDescent="0.3">
      <c r="A134" s="26"/>
      <c r="C134" s="420"/>
      <c r="D134" s="102"/>
      <c r="E134" s="102"/>
      <c r="F134" s="105"/>
      <c r="I134" s="102"/>
    </row>
    <row r="135" spans="1:14" s="67" customFormat="1" x14ac:dyDescent="0.3">
      <c r="A135" s="26"/>
      <c r="C135" s="420"/>
      <c r="D135" s="102"/>
      <c r="E135" s="102"/>
      <c r="F135" s="105"/>
      <c r="H135" s="55"/>
      <c r="I135" s="441"/>
      <c r="J135" s="55"/>
      <c r="K135" s="55"/>
      <c r="L135" s="55"/>
      <c r="M135" s="55"/>
      <c r="N135" s="55"/>
    </row>
    <row r="136" spans="1:14" s="67" customFormat="1" x14ac:dyDescent="0.3">
      <c r="A136" s="187" t="s">
        <v>231</v>
      </c>
      <c r="B136" s="187"/>
      <c r="C136" s="187"/>
      <c r="D136" s="187"/>
      <c r="E136" s="187"/>
      <c r="F136" s="187"/>
      <c r="G136" s="55"/>
      <c r="H136" s="55"/>
      <c r="I136" s="441"/>
      <c r="J136" s="55"/>
      <c r="K136" s="55"/>
      <c r="L136" s="55"/>
      <c r="M136" s="55"/>
      <c r="N136" s="55"/>
    </row>
    <row r="137" spans="1:14" s="67" customFormat="1" x14ac:dyDescent="0.3">
      <c r="A137" s="136" t="s">
        <v>119</v>
      </c>
      <c r="B137" s="19" t="s">
        <v>50</v>
      </c>
      <c r="C137" s="19" t="s">
        <v>120</v>
      </c>
      <c r="D137" s="19" t="s">
        <v>51</v>
      </c>
      <c r="E137" s="63" t="s">
        <v>121</v>
      </c>
      <c r="F137" s="63" t="s">
        <v>166</v>
      </c>
      <c r="G137" s="55"/>
    </row>
    <row r="138" spans="1:14" s="67" customFormat="1" x14ac:dyDescent="0.3">
      <c r="A138" s="8" t="s">
        <v>123</v>
      </c>
      <c r="B138" s="430" t="s">
        <v>124</v>
      </c>
      <c r="C138" s="430" t="s">
        <v>125</v>
      </c>
      <c r="D138" s="430" t="s">
        <v>3</v>
      </c>
      <c r="E138" s="419">
        <v>539603000</v>
      </c>
      <c r="F138" s="196" t="s">
        <v>277</v>
      </c>
      <c r="G138" s="438"/>
      <c r="H138" s="55"/>
      <c r="I138" s="441"/>
      <c r="J138" s="55"/>
      <c r="K138" s="55"/>
      <c r="L138" s="55"/>
      <c r="M138" s="445"/>
      <c r="N138" s="446"/>
    </row>
    <row r="139" spans="1:14" s="67" customFormat="1" x14ac:dyDescent="0.3">
      <c r="A139" s="7" t="s">
        <v>272</v>
      </c>
      <c r="B139" s="372" t="s">
        <v>124</v>
      </c>
      <c r="C139" s="372" t="s">
        <v>125</v>
      </c>
      <c r="D139" s="372" t="s">
        <v>3</v>
      </c>
      <c r="E139" s="425">
        <v>40000000</v>
      </c>
      <c r="F139" s="196" t="s">
        <v>273</v>
      </c>
      <c r="G139" s="438"/>
      <c r="H139" s="55"/>
      <c r="I139" s="441"/>
      <c r="J139" s="55"/>
      <c r="K139" s="55"/>
      <c r="L139" s="55"/>
      <c r="M139" s="445"/>
      <c r="N139" s="446"/>
    </row>
    <row r="140" spans="1:14" s="67" customFormat="1" x14ac:dyDescent="0.3">
      <c r="A140" s="7" t="s">
        <v>211</v>
      </c>
      <c r="B140" s="372" t="s">
        <v>216</v>
      </c>
      <c r="C140" s="372" t="s">
        <v>128</v>
      </c>
      <c r="D140" s="372" t="s">
        <v>3</v>
      </c>
      <c r="E140" s="417">
        <v>124000000</v>
      </c>
      <c r="F140" s="196" t="s">
        <v>195</v>
      </c>
      <c r="G140" s="438"/>
      <c r="H140" s="438"/>
      <c r="I140" s="441"/>
      <c r="J140" s="55"/>
      <c r="K140" s="55"/>
      <c r="L140" s="445"/>
      <c r="M140" s="445"/>
      <c r="N140" s="446"/>
    </row>
    <row r="141" spans="1:14" s="67" customFormat="1" x14ac:dyDescent="0.3">
      <c r="A141" s="7" t="s">
        <v>190</v>
      </c>
      <c r="B141" s="372" t="s">
        <v>194</v>
      </c>
      <c r="C141" s="372" t="s">
        <v>128</v>
      </c>
      <c r="D141" s="372" t="s">
        <v>3</v>
      </c>
      <c r="E141" s="416">
        <v>45000000</v>
      </c>
      <c r="F141" s="358" t="s">
        <v>129</v>
      </c>
      <c r="G141" s="438"/>
      <c r="H141" s="438"/>
      <c r="I141" s="441"/>
      <c r="J141" s="55"/>
      <c r="K141" s="55"/>
      <c r="L141" s="445"/>
      <c r="M141" s="445"/>
      <c r="N141" s="446"/>
    </row>
    <row r="142" spans="1:14" s="67" customFormat="1" x14ac:dyDescent="0.3">
      <c r="A142" s="7" t="s">
        <v>252</v>
      </c>
      <c r="B142" s="372" t="s">
        <v>253</v>
      </c>
      <c r="C142" s="372" t="s">
        <v>128</v>
      </c>
      <c r="D142" s="372" t="s">
        <v>3</v>
      </c>
      <c r="E142" s="416">
        <v>10000000</v>
      </c>
      <c r="F142" s="358" t="s">
        <v>129</v>
      </c>
      <c r="G142" s="438"/>
      <c r="H142" s="438"/>
      <c r="I142" s="441"/>
      <c r="J142" s="55"/>
      <c r="K142" s="55"/>
      <c r="L142" s="445"/>
      <c r="M142" s="445"/>
      <c r="N142" s="446"/>
    </row>
    <row r="143" spans="1:14" s="67" customFormat="1" x14ac:dyDescent="0.3">
      <c r="A143" s="7" t="s">
        <v>255</v>
      </c>
      <c r="B143" s="372" t="s">
        <v>256</v>
      </c>
      <c r="C143" s="372" t="s">
        <v>128</v>
      </c>
      <c r="D143" s="372" t="s">
        <v>3</v>
      </c>
      <c r="E143" s="416">
        <v>51000000</v>
      </c>
      <c r="F143" s="358" t="s">
        <v>129</v>
      </c>
      <c r="G143" s="438"/>
      <c r="H143" s="438"/>
      <c r="I143" s="441"/>
      <c r="J143" s="55"/>
      <c r="K143" s="55"/>
      <c r="L143" s="445"/>
      <c r="M143" s="445"/>
      <c r="N143" s="446"/>
    </row>
    <row r="144" spans="1:14" s="67" customFormat="1" x14ac:dyDescent="0.3">
      <c r="A144" s="7" t="s">
        <v>238</v>
      </c>
      <c r="B144" s="372" t="s">
        <v>241</v>
      </c>
      <c r="C144" s="372" t="s">
        <v>128</v>
      </c>
      <c r="D144" s="372" t="s">
        <v>3</v>
      </c>
      <c r="E144" s="416">
        <v>45000000</v>
      </c>
      <c r="F144" s="358" t="s">
        <v>129</v>
      </c>
      <c r="G144" s="438"/>
      <c r="H144" s="438"/>
      <c r="I144" s="441"/>
      <c r="J144" s="55"/>
      <c r="K144" s="55"/>
      <c r="L144" s="445"/>
      <c r="M144" s="445"/>
      <c r="N144" s="446"/>
    </row>
    <row r="145" spans="1:16" s="67" customFormat="1" x14ac:dyDescent="0.3">
      <c r="A145" s="7" t="s">
        <v>271</v>
      </c>
      <c r="B145" s="372" t="s">
        <v>269</v>
      </c>
      <c r="C145" s="372" t="s">
        <v>128</v>
      </c>
      <c r="D145" s="372" t="s">
        <v>3</v>
      </c>
      <c r="E145" s="416">
        <v>100000000</v>
      </c>
      <c r="F145" s="358" t="s">
        <v>129</v>
      </c>
      <c r="G145" s="438"/>
      <c r="H145" s="438"/>
      <c r="I145" s="441"/>
      <c r="J145" s="55"/>
      <c r="K145" s="55"/>
      <c r="L145" s="445"/>
      <c r="M145" s="445"/>
      <c r="N145" s="446"/>
    </row>
    <row r="146" spans="1:16" s="67" customFormat="1" x14ac:dyDescent="0.3">
      <c r="A146" s="7" t="s">
        <v>257</v>
      </c>
      <c r="B146" s="372" t="s">
        <v>258</v>
      </c>
      <c r="C146" s="372" t="s">
        <v>128</v>
      </c>
      <c r="D146" s="372" t="s">
        <v>3</v>
      </c>
      <c r="E146" s="416">
        <v>10000000</v>
      </c>
      <c r="F146" s="358" t="s">
        <v>129</v>
      </c>
      <c r="G146" s="438"/>
      <c r="H146" s="438"/>
      <c r="I146" s="441"/>
      <c r="J146" s="55"/>
      <c r="K146" s="55"/>
      <c r="L146" s="445"/>
      <c r="M146" s="445"/>
      <c r="N146" s="446"/>
    </row>
    <row r="147" spans="1:16" s="67" customFormat="1" x14ac:dyDescent="0.3">
      <c r="A147" s="442" t="s">
        <v>264</v>
      </c>
      <c r="B147" s="372" t="s">
        <v>263</v>
      </c>
      <c r="C147" s="372" t="s">
        <v>128</v>
      </c>
      <c r="D147" s="372" t="s">
        <v>3</v>
      </c>
      <c r="E147" s="416">
        <v>25000000</v>
      </c>
      <c r="F147" s="358" t="s">
        <v>129</v>
      </c>
      <c r="G147" s="438"/>
      <c r="H147" s="438"/>
      <c r="I147" s="441"/>
      <c r="J147" s="55"/>
      <c r="K147" s="55"/>
      <c r="L147" s="445"/>
      <c r="M147" s="445"/>
      <c r="N147" s="446"/>
    </row>
    <row r="148" spans="1:16" s="67" customFormat="1" x14ac:dyDescent="0.3">
      <c r="A148" s="7" t="s">
        <v>259</v>
      </c>
      <c r="B148" s="372" t="s">
        <v>260</v>
      </c>
      <c r="C148" s="372" t="s">
        <v>248</v>
      </c>
      <c r="D148" s="372" t="s">
        <v>3</v>
      </c>
      <c r="E148" s="416">
        <v>10000000</v>
      </c>
      <c r="F148" s="358" t="s">
        <v>261</v>
      </c>
      <c r="G148" s="438"/>
      <c r="H148" s="438"/>
      <c r="I148" s="441"/>
      <c r="J148" s="55"/>
      <c r="K148" s="55"/>
      <c r="L148" s="445"/>
      <c r="M148" s="445"/>
      <c r="N148" s="446"/>
    </row>
    <row r="149" spans="1:16" s="67" customFormat="1" ht="14" thickBot="1" x14ac:dyDescent="0.35">
      <c r="A149" s="3" t="s">
        <v>246</v>
      </c>
      <c r="B149" s="443" t="s">
        <v>247</v>
      </c>
      <c r="C149" s="431" t="s">
        <v>248</v>
      </c>
      <c r="D149" s="432" t="s">
        <v>3</v>
      </c>
      <c r="E149" s="444">
        <v>10000000</v>
      </c>
      <c r="F149" s="359" t="s">
        <v>249</v>
      </c>
      <c r="G149" s="438"/>
      <c r="H149" s="438"/>
      <c r="I149" s="441"/>
      <c r="J149" s="55"/>
      <c r="K149" s="55"/>
      <c r="L149" s="445"/>
      <c r="M149" s="445"/>
      <c r="N149" s="446"/>
    </row>
    <row r="150" spans="1:16" ht="14" thickTop="1" x14ac:dyDescent="0.3">
      <c r="A150" s="5" t="s">
        <v>1</v>
      </c>
      <c r="B150" s="434"/>
      <c r="C150" s="434"/>
      <c r="D150" s="434"/>
      <c r="E150" s="423">
        <f>SUM(E138:E149)</f>
        <v>1009603000</v>
      </c>
      <c r="F150" s="189"/>
      <c r="G150" s="55"/>
      <c r="H150" s="438"/>
      <c r="I150" s="441"/>
      <c r="J150" s="55"/>
      <c r="K150" s="55"/>
      <c r="L150" s="445"/>
      <c r="M150" s="445"/>
      <c r="N150" s="446"/>
      <c r="O150" s="67"/>
      <c r="P150" s="67"/>
    </row>
    <row r="151" spans="1:16" x14ac:dyDescent="0.3">
      <c r="A151" s="26"/>
      <c r="B151" s="67"/>
      <c r="C151" s="420"/>
      <c r="D151" s="102"/>
      <c r="E151" s="102"/>
      <c r="F151" s="105"/>
      <c r="G151" s="67"/>
      <c r="H151" s="67"/>
      <c r="I151" s="102"/>
      <c r="J151" s="67"/>
      <c r="K151" s="67"/>
      <c r="L151" s="67"/>
      <c r="M151" s="67"/>
      <c r="N151" s="67"/>
    </row>
    <row r="152" spans="1:16" x14ac:dyDescent="0.3">
      <c r="A152" s="67"/>
      <c r="B152" s="67"/>
      <c r="C152" s="67"/>
      <c r="D152" s="67"/>
      <c r="E152" s="67"/>
      <c r="F152" s="67"/>
      <c r="G152" s="67"/>
      <c r="H152" s="67"/>
      <c r="I152" s="67"/>
      <c r="J152" s="67"/>
      <c r="K152" s="67"/>
    </row>
    <row r="153" spans="1:16" x14ac:dyDescent="0.3">
      <c r="A153" s="187" t="s">
        <v>232</v>
      </c>
      <c r="B153" s="187"/>
      <c r="C153" s="187"/>
      <c r="D153" s="187"/>
      <c r="E153" s="187"/>
    </row>
    <row r="173" spans="1:1" x14ac:dyDescent="0.3">
      <c r="A173"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71"/>
  <sheetViews>
    <sheetView workbookViewId="0">
      <pane ySplit="7" topLeftCell="A133" activePane="bottomLeft" state="frozen"/>
      <selection pane="bottomLeft" activeCell="A138" sqref="A138"/>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43281</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8427868882</v>
      </c>
      <c r="C7" s="263"/>
      <c r="D7" s="364"/>
      <c r="E7" s="450"/>
      <c r="F7" s="266"/>
      <c r="G7" s="55"/>
      <c r="H7" s="55"/>
      <c r="I7" s="67"/>
      <c r="J7" s="67"/>
      <c r="K7" s="67"/>
      <c r="L7" s="67"/>
      <c r="M7" s="67"/>
    </row>
    <row r="8" spans="1:13" x14ac:dyDescent="0.3">
      <c r="A8" s="265" t="s">
        <v>78</v>
      </c>
      <c r="B8" s="365">
        <v>1192567</v>
      </c>
      <c r="C8" s="263"/>
      <c r="D8" s="366"/>
      <c r="E8" s="267"/>
      <c r="F8" s="266"/>
      <c r="G8" s="55"/>
      <c r="H8" s="55"/>
      <c r="I8" s="67"/>
      <c r="J8" s="67"/>
      <c r="K8" s="67"/>
      <c r="L8" s="67"/>
      <c r="M8" s="67"/>
    </row>
    <row r="9" spans="1:13" x14ac:dyDescent="0.3">
      <c r="A9" s="265" t="s">
        <v>73</v>
      </c>
      <c r="B9" s="365">
        <v>7067</v>
      </c>
      <c r="C9" s="263"/>
      <c r="D9" s="364"/>
      <c r="E9" s="267"/>
      <c r="F9" s="266"/>
      <c r="G9" s="55"/>
      <c r="H9" s="55"/>
      <c r="I9" s="67"/>
      <c r="J9" s="67"/>
      <c r="K9" s="67"/>
      <c r="L9" s="67"/>
      <c r="M9" s="67"/>
    </row>
    <row r="10" spans="1:13" ht="13.5" customHeight="1" x14ac:dyDescent="0.3">
      <c r="A10" s="265" t="s">
        <v>79</v>
      </c>
      <c r="B10" s="338">
        <v>8.3000000000000001E-3</v>
      </c>
      <c r="C10" s="263"/>
      <c r="D10" s="268"/>
      <c r="E10" s="267"/>
      <c r="F10" s="266"/>
      <c r="G10" s="55"/>
      <c r="H10" s="55"/>
      <c r="I10" s="67"/>
      <c r="J10" s="67"/>
      <c r="K10" s="67"/>
      <c r="L10" s="67"/>
      <c r="M10" s="67"/>
    </row>
    <row r="11" spans="1:13" x14ac:dyDescent="0.3">
      <c r="A11" s="265" t="s">
        <v>74</v>
      </c>
      <c r="B11" s="365">
        <v>46</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6726</v>
      </c>
      <c r="C13" s="348"/>
      <c r="D13" s="349"/>
      <c r="E13" s="350"/>
      <c r="F13" s="351"/>
      <c r="G13" s="352"/>
      <c r="H13" s="55"/>
      <c r="I13" s="362"/>
      <c r="J13" s="362"/>
      <c r="K13" s="67"/>
      <c r="L13" s="67"/>
      <c r="M13" s="67"/>
    </row>
    <row r="14" spans="1:13" x14ac:dyDescent="0.3">
      <c r="A14" s="265" t="s">
        <v>196</v>
      </c>
      <c r="B14" s="338">
        <v>0.52729999999999999</v>
      </c>
      <c r="C14" s="339"/>
      <c r="D14" s="268"/>
      <c r="E14" s="267"/>
      <c r="F14" s="351"/>
      <c r="G14" s="352"/>
      <c r="H14" s="55"/>
      <c r="I14" s="362"/>
      <c r="J14" s="362"/>
      <c r="K14" s="67"/>
      <c r="L14" s="67"/>
      <c r="M14" s="67"/>
    </row>
    <row r="15" spans="1:13" x14ac:dyDescent="0.3">
      <c r="A15" s="265" t="s">
        <v>83</v>
      </c>
      <c r="B15" s="269">
        <v>1</v>
      </c>
      <c r="C15" s="339"/>
      <c r="D15" s="268"/>
      <c r="E15" s="267"/>
      <c r="F15" s="351"/>
      <c r="G15" s="352"/>
      <c r="H15" s="55"/>
      <c r="I15" s="362"/>
      <c r="J15" s="362"/>
      <c r="K15" s="67"/>
      <c r="L15" s="67"/>
      <c r="M15" s="67"/>
    </row>
    <row r="16" spans="1:13" x14ac:dyDescent="0.3">
      <c r="A16" s="265" t="s">
        <v>86</v>
      </c>
      <c r="B16" s="269">
        <v>1</v>
      </c>
      <c r="C16" s="339"/>
      <c r="D16" s="268"/>
      <c r="E16" s="267"/>
      <c r="F16" s="351"/>
      <c r="G16" s="352"/>
      <c r="H16" s="55"/>
      <c r="I16" s="362"/>
      <c r="J16" s="362"/>
      <c r="K16" s="67"/>
      <c r="L16" s="67"/>
      <c r="M16" s="67"/>
    </row>
    <row r="17" spans="1:13" x14ac:dyDescent="0.3">
      <c r="A17" s="265" t="s">
        <v>84</v>
      </c>
      <c r="B17" s="265">
        <v>4.0000000000000002E-4</v>
      </c>
      <c r="C17" s="339"/>
      <c r="D17" s="268"/>
      <c r="E17" s="267"/>
      <c r="F17" s="351"/>
      <c r="G17" s="352"/>
      <c r="H17" s="55"/>
      <c r="I17" s="362"/>
      <c r="J17" s="362"/>
      <c r="K17" s="67"/>
      <c r="L17" s="67"/>
      <c r="M17" s="67"/>
    </row>
    <row r="18" spans="1:13" x14ac:dyDescent="0.3">
      <c r="A18" s="265" t="s">
        <v>49</v>
      </c>
      <c r="B18" s="367">
        <f>135628000+435314000</f>
        <v>570942000</v>
      </c>
      <c r="C18" s="339"/>
      <c r="D18" s="339"/>
      <c r="E18" s="332"/>
      <c r="F18" s="353"/>
      <c r="G18" s="451"/>
      <c r="H18" s="368"/>
      <c r="I18" s="368"/>
      <c r="J18" s="189"/>
      <c r="K18" s="67"/>
      <c r="L18" s="67"/>
      <c r="M18" s="67"/>
    </row>
    <row r="19" spans="1:13" x14ac:dyDescent="0.3">
      <c r="A19" s="262" t="s">
        <v>80</v>
      </c>
      <c r="B19" s="369">
        <f>+B7+B18</f>
        <v>8998810882</v>
      </c>
      <c r="C19" s="339"/>
      <c r="D19" s="348" t="s">
        <v>234</v>
      </c>
      <c r="E19" s="435" t="s">
        <v>235</v>
      </c>
      <c r="F19" s="353"/>
      <c r="G19" s="452"/>
      <c r="H19" s="368"/>
      <c r="I19" s="368"/>
      <c r="J19" s="189"/>
      <c r="K19" s="67"/>
      <c r="L19" s="67"/>
      <c r="M19" s="67"/>
    </row>
    <row r="20" spans="1:13" x14ac:dyDescent="0.3">
      <c r="A20" s="341" t="s">
        <v>197</v>
      </c>
      <c r="B20" s="342">
        <f>($B$19-D20)/E20-1</f>
        <v>0.17986280178608594</v>
      </c>
      <c r="C20" s="339"/>
      <c r="D20" s="436">
        <v>29113947</v>
      </c>
      <c r="E20" s="435">
        <v>7602322000</v>
      </c>
      <c r="F20" s="453"/>
      <c r="G20" s="452"/>
      <c r="H20" s="368"/>
      <c r="I20" s="368"/>
      <c r="J20" s="189"/>
      <c r="K20" s="67"/>
      <c r="L20" s="67"/>
      <c r="M20" s="67"/>
    </row>
    <row r="21" spans="1:13" x14ac:dyDescent="0.3">
      <c r="A21" s="341" t="s">
        <v>198</v>
      </c>
      <c r="B21" s="342">
        <f>($B$19-D21)/E20-1</f>
        <v>0.13297880476517565</v>
      </c>
      <c r="C21" s="339"/>
      <c r="D21" s="455">
        <v>385541189</v>
      </c>
      <c r="E21" s="435"/>
      <c r="F21" s="353"/>
      <c r="G21" s="452"/>
      <c r="H21" s="368"/>
      <c r="I21" s="368"/>
      <c r="J21" s="189"/>
      <c r="K21" s="67"/>
      <c r="L21" s="67"/>
      <c r="M21" s="67"/>
    </row>
    <row r="22" spans="1:13" x14ac:dyDescent="0.3">
      <c r="A22" s="341" t="s">
        <v>233</v>
      </c>
      <c r="B22" s="342">
        <f>($B$19-D22)/E20-1</f>
        <v>6.7549898965079347E-2</v>
      </c>
      <c r="C22" s="339"/>
      <c r="D22" s="455">
        <v>882952799</v>
      </c>
      <c r="E22" s="435"/>
      <c r="F22" s="353"/>
      <c r="G22" s="452"/>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2037711127.8800011</v>
      </c>
      <c r="C28" s="373">
        <v>3049</v>
      </c>
      <c r="D28" s="196">
        <f t="shared" ref="D28:D39" si="0">B28/$B$40</f>
        <v>0.24178249048358996</v>
      </c>
      <c r="E28" s="355"/>
      <c r="F28" s="186"/>
      <c r="G28" s="186"/>
      <c r="H28" s="368"/>
      <c r="I28" s="374"/>
      <c r="J28" s="189"/>
      <c r="K28" s="67"/>
      <c r="L28" s="67"/>
      <c r="M28" s="67"/>
    </row>
    <row r="29" spans="1:13" ht="14.5" x14ac:dyDescent="0.35">
      <c r="A29" s="6" t="s">
        <v>7</v>
      </c>
      <c r="B29" s="372">
        <v>1259199733.9500005</v>
      </c>
      <c r="C29" s="373">
        <v>923</v>
      </c>
      <c r="D29" s="196">
        <f t="shared" si="0"/>
        <v>0.14940903228390964</v>
      </c>
      <c r="E29" s="355"/>
      <c r="F29" s="257"/>
      <c r="G29" s="257"/>
      <c r="H29" s="257"/>
      <c r="I29" s="257"/>
      <c r="J29" s="189"/>
      <c r="K29" s="67"/>
      <c r="L29" s="67"/>
      <c r="M29" s="67"/>
    </row>
    <row r="30" spans="1:13" ht="14.5" x14ac:dyDescent="0.35">
      <c r="A30" s="6" t="s">
        <v>8</v>
      </c>
      <c r="B30" s="372">
        <v>1843025299.9400001</v>
      </c>
      <c r="C30" s="373">
        <v>1204</v>
      </c>
      <c r="D30" s="196">
        <f t="shared" si="0"/>
        <v>0.21868224644155754</v>
      </c>
      <c r="E30" s="355"/>
      <c r="F30" s="259"/>
      <c r="G30" s="259"/>
      <c r="H30" s="259"/>
      <c r="I30" s="259"/>
      <c r="J30" s="189"/>
      <c r="K30" s="67"/>
      <c r="L30" s="67"/>
      <c r="M30" s="67"/>
    </row>
    <row r="31" spans="1:13" ht="14.5" x14ac:dyDescent="0.35">
      <c r="A31" s="6" t="s">
        <v>9</v>
      </c>
      <c r="B31" s="372">
        <v>2096921101.8400002</v>
      </c>
      <c r="C31" s="373">
        <v>1277</v>
      </c>
      <c r="D31" s="196">
        <f t="shared" si="0"/>
        <v>0.2488079882441146</v>
      </c>
      <c r="E31" s="355"/>
      <c r="F31" s="316"/>
      <c r="G31" s="317"/>
      <c r="H31" s="317"/>
      <c r="I31" s="176"/>
      <c r="J31" s="189"/>
      <c r="K31" s="67"/>
      <c r="L31" s="67"/>
      <c r="M31" s="67"/>
    </row>
    <row r="32" spans="1:13" ht="14.5" x14ac:dyDescent="0.35">
      <c r="A32" s="6" t="s">
        <v>140</v>
      </c>
      <c r="B32" s="372">
        <v>1024305572.9700001</v>
      </c>
      <c r="C32" s="373">
        <v>508</v>
      </c>
      <c r="D32" s="196">
        <f t="shared" si="0"/>
        <v>0.12153791038407268</v>
      </c>
      <c r="E32" s="355"/>
      <c r="F32" s="304"/>
      <c r="G32" s="368"/>
      <c r="H32" s="368"/>
      <c r="I32" s="263"/>
      <c r="J32" s="189"/>
      <c r="K32" s="67"/>
      <c r="L32" s="67"/>
      <c r="M32" s="67"/>
    </row>
    <row r="33" spans="1:15" ht="14.5" x14ac:dyDescent="0.35">
      <c r="A33" s="6" t="s">
        <v>141</v>
      </c>
      <c r="B33" s="372">
        <v>34582970.099999994</v>
      </c>
      <c r="C33" s="373">
        <v>32</v>
      </c>
      <c r="D33" s="196">
        <f t="shared" si="0"/>
        <v>4.10340628006323E-3</v>
      </c>
      <c r="E33" s="355"/>
      <c r="F33" s="304"/>
      <c r="G33" s="368"/>
      <c r="H33" s="368"/>
      <c r="I33" s="263"/>
      <c r="J33" s="345"/>
      <c r="K33" s="67"/>
      <c r="L33" s="67"/>
      <c r="M33" s="67"/>
    </row>
    <row r="34" spans="1:15" ht="14.5" x14ac:dyDescent="0.35">
      <c r="A34" s="6" t="s">
        <v>10</v>
      </c>
      <c r="B34" s="372">
        <v>18162217.18</v>
      </c>
      <c r="C34" s="373">
        <v>17</v>
      </c>
      <c r="D34" s="196">
        <f t="shared" si="0"/>
        <v>2.1550189535711481E-3</v>
      </c>
      <c r="E34" s="355"/>
      <c r="F34" s="304"/>
      <c r="G34" s="368"/>
      <c r="H34" s="368"/>
      <c r="I34" s="263"/>
      <c r="J34" s="362"/>
      <c r="K34" s="67"/>
      <c r="L34" s="67"/>
      <c r="M34" s="67"/>
    </row>
    <row r="35" spans="1:15" ht="14.5" x14ac:dyDescent="0.35">
      <c r="A35" s="6" t="s">
        <v>11</v>
      </c>
      <c r="B35" s="375">
        <v>3592801</v>
      </c>
      <c r="C35" s="376">
        <v>6</v>
      </c>
      <c r="D35" s="196">
        <f t="shared" si="0"/>
        <v>4.2630005878001369E-4</v>
      </c>
      <c r="E35" s="355"/>
      <c r="F35" s="304"/>
      <c r="G35" s="368"/>
      <c r="H35" s="368"/>
      <c r="I35" s="263"/>
      <c r="J35" s="67"/>
      <c r="K35" s="67"/>
      <c r="L35" s="67"/>
      <c r="M35" s="67"/>
    </row>
    <row r="36" spans="1:15" ht="14.5" x14ac:dyDescent="0.35">
      <c r="A36" s="6" t="s">
        <v>12</v>
      </c>
      <c r="B36" s="377">
        <v>13346373.890000001</v>
      </c>
      <c r="C36" s="378">
        <v>7</v>
      </c>
      <c r="D36" s="196">
        <f t="shared" si="0"/>
        <v>1.5836000863412808E-3</v>
      </c>
      <c r="E36" s="355"/>
      <c r="F36" s="304"/>
      <c r="G36" s="368"/>
      <c r="H36" s="368"/>
      <c r="I36" s="263"/>
      <c r="J36" s="67"/>
      <c r="K36" s="67"/>
      <c r="L36" s="67"/>
      <c r="M36" s="67"/>
    </row>
    <row r="37" spans="1:15" ht="14.5" x14ac:dyDescent="0.35">
      <c r="A37" s="6" t="s">
        <v>13</v>
      </c>
      <c r="B37" s="377">
        <v>3100551.07</v>
      </c>
      <c r="C37" s="378">
        <v>1</v>
      </c>
      <c r="D37" s="196">
        <f t="shared" si="0"/>
        <v>3.6789265628445168E-4</v>
      </c>
      <c r="E37" s="355"/>
      <c r="F37" s="304"/>
      <c r="G37" s="368"/>
      <c r="H37" s="368"/>
      <c r="I37" s="263"/>
      <c r="J37" s="67"/>
      <c r="K37" s="67"/>
      <c r="L37" s="67"/>
      <c r="M37" s="67"/>
    </row>
    <row r="38" spans="1:15" ht="14.5" x14ac:dyDescent="0.35">
      <c r="A38" s="6" t="s">
        <v>14</v>
      </c>
      <c r="B38" s="377">
        <v>8769831.3499999996</v>
      </c>
      <c r="C38" s="378">
        <v>1</v>
      </c>
      <c r="D38" s="196">
        <f t="shared" si="0"/>
        <v>1.0405752002395365E-3</v>
      </c>
      <c r="E38" s="355"/>
      <c r="F38" s="304"/>
      <c r="G38" s="368"/>
      <c r="H38" s="368"/>
      <c r="I38" s="263"/>
      <c r="J38" s="67"/>
      <c r="K38" s="67"/>
      <c r="L38" s="67"/>
      <c r="M38" s="67"/>
      <c r="O38" s="54"/>
    </row>
    <row r="39" spans="1:15" ht="15" thickBot="1" x14ac:dyDescent="0.4">
      <c r="A39" s="4" t="s">
        <v>15</v>
      </c>
      <c r="B39" s="379">
        <v>85151301.329999998</v>
      </c>
      <c r="C39" s="380">
        <v>42</v>
      </c>
      <c r="D39" s="192">
        <f t="shared" si="0"/>
        <v>1.010353892747571E-2</v>
      </c>
      <c r="E39" s="355"/>
      <c r="F39" s="304"/>
      <c r="G39" s="374"/>
      <c r="H39" s="374"/>
      <c r="I39" s="263"/>
      <c r="J39" s="67"/>
      <c r="K39" s="67"/>
      <c r="L39" s="67"/>
      <c r="M39" s="67"/>
      <c r="O39" s="54"/>
    </row>
    <row r="40" spans="1:15" ht="15" thickTop="1" x14ac:dyDescent="0.35">
      <c r="A40" s="1" t="s">
        <v>1</v>
      </c>
      <c r="B40" s="18">
        <f>SUM(B28:B39)</f>
        <v>8427868882.5000038</v>
      </c>
      <c r="C40" s="381">
        <f>SUM(C28:C39)</f>
        <v>7067</v>
      </c>
      <c r="D40" s="344">
        <f>SUM(D28:D39)</f>
        <v>0.99999999999999989</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234076149.3600001</v>
      </c>
      <c r="C46" s="373">
        <v>2318</v>
      </c>
      <c r="D46" s="196">
        <f>B46/$B$40</f>
        <v>2.7774061583474095E-2</v>
      </c>
      <c r="E46" s="384"/>
      <c r="O46" s="54"/>
    </row>
    <row r="47" spans="1:15" x14ac:dyDescent="0.3">
      <c r="A47" s="6" t="s">
        <v>221</v>
      </c>
      <c r="B47" s="372">
        <v>819588705.74000049</v>
      </c>
      <c r="C47" s="373">
        <v>1076</v>
      </c>
      <c r="D47" s="196">
        <f t="shared" ref="D47:D49" si="1">B47/$B$40</f>
        <v>9.7247443827920763E-2</v>
      </c>
      <c r="E47" s="384"/>
      <c r="O47" s="54"/>
    </row>
    <row r="48" spans="1:15" x14ac:dyDescent="0.3">
      <c r="A48" s="6" t="s">
        <v>222</v>
      </c>
      <c r="B48" s="372">
        <v>3287161497.4600005</v>
      </c>
      <c r="C48" s="373">
        <v>2210</v>
      </c>
      <c r="D48" s="196">
        <f t="shared" si="1"/>
        <v>0.39003472209749329</v>
      </c>
      <c r="E48" s="384"/>
      <c r="O48" s="54"/>
    </row>
    <row r="49" spans="1:15" x14ac:dyDescent="0.3">
      <c r="A49" s="6" t="s">
        <v>223</v>
      </c>
      <c r="B49" s="372">
        <v>2559328516.9900017</v>
      </c>
      <c r="C49" s="373">
        <v>1062</v>
      </c>
      <c r="D49" s="196">
        <f t="shared" si="1"/>
        <v>0.30367445823751527</v>
      </c>
      <c r="E49" s="384"/>
      <c r="O49" s="54"/>
    </row>
    <row r="50" spans="1:15" ht="14" thickBot="1" x14ac:dyDescent="0.35">
      <c r="A50" s="4" t="s">
        <v>224</v>
      </c>
      <c r="B50" s="379">
        <v>1527714012.9499996</v>
      </c>
      <c r="C50" s="380">
        <v>401</v>
      </c>
      <c r="D50" s="192">
        <f>B50/$B$40</f>
        <v>0.18126931425359641</v>
      </c>
      <c r="E50" s="384"/>
      <c r="O50" s="54"/>
    </row>
    <row r="51" spans="1:15" ht="14" thickTop="1" x14ac:dyDescent="0.3">
      <c r="A51" s="1" t="s">
        <v>1</v>
      </c>
      <c r="B51" s="18">
        <f>SUM(B46:B50)</f>
        <v>8427868882.5000029</v>
      </c>
      <c r="C51" s="381">
        <f>SUM(C46:C50)</f>
        <v>7067</v>
      </c>
      <c r="D51" s="344">
        <f>SUM(D46:D50)</f>
        <v>0.99999999999999978</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276835147.70000005</v>
      </c>
      <c r="C56" s="387">
        <v>100559945.44</v>
      </c>
      <c r="D56" s="387">
        <v>65590700.150000006</v>
      </c>
      <c r="E56" s="387">
        <v>61595633.829999998</v>
      </c>
      <c r="F56" s="387">
        <v>30511522.280000001</v>
      </c>
      <c r="G56" s="387">
        <v>18577346</v>
      </c>
      <c r="H56" s="387">
        <v>0</v>
      </c>
      <c r="I56" s="387">
        <v>0</v>
      </c>
      <c r="J56" s="387">
        <v>0</v>
      </c>
      <c r="K56" s="387">
        <v>0</v>
      </c>
      <c r="L56" s="387">
        <v>0</v>
      </c>
      <c r="M56" s="387">
        <v>0</v>
      </c>
      <c r="N56" s="447">
        <v>0</v>
      </c>
      <c r="O56" s="54"/>
    </row>
    <row r="57" spans="1:15" ht="14.5" x14ac:dyDescent="0.35">
      <c r="A57" s="154" t="s">
        <v>29</v>
      </c>
      <c r="B57" s="387">
        <f t="shared" ref="B57:B74" si="2">SUM(C57:N57)</f>
        <v>547932802.78999996</v>
      </c>
      <c r="C57" s="387">
        <v>95901784.819999993</v>
      </c>
      <c r="D57" s="387">
        <v>102364794.97000001</v>
      </c>
      <c r="E57" s="387">
        <v>140415125.37</v>
      </c>
      <c r="F57" s="387">
        <v>140976864.59</v>
      </c>
      <c r="G57" s="387">
        <v>55005600</v>
      </c>
      <c r="H57" s="387">
        <v>4940542</v>
      </c>
      <c r="I57" s="387">
        <v>0</v>
      </c>
      <c r="J57" s="387">
        <v>0</v>
      </c>
      <c r="K57" s="387">
        <v>0</v>
      </c>
      <c r="L57" s="387">
        <v>0</v>
      </c>
      <c r="M57" s="387">
        <v>0</v>
      </c>
      <c r="N57" s="448">
        <v>8328091.04</v>
      </c>
      <c r="O57" s="54"/>
    </row>
    <row r="58" spans="1:15" ht="14.5" x14ac:dyDescent="0.35">
      <c r="A58" s="154" t="s">
        <v>30</v>
      </c>
      <c r="B58" s="387">
        <f t="shared" si="2"/>
        <v>61428099.209999993</v>
      </c>
      <c r="C58" s="387">
        <v>24772095.779999997</v>
      </c>
      <c r="D58" s="387">
        <v>19095000.43</v>
      </c>
      <c r="E58" s="387">
        <v>4290408</v>
      </c>
      <c r="F58" s="387">
        <v>8663458</v>
      </c>
      <c r="G58" s="387">
        <v>4607137</v>
      </c>
      <c r="H58" s="387">
        <v>0</v>
      </c>
      <c r="I58" s="387">
        <v>0</v>
      </c>
      <c r="J58" s="387">
        <v>0</v>
      </c>
      <c r="K58" s="387">
        <v>0</v>
      </c>
      <c r="L58" s="387">
        <v>0</v>
      </c>
      <c r="M58" s="387">
        <v>0</v>
      </c>
      <c r="N58" s="448">
        <v>0</v>
      </c>
      <c r="O58" s="54"/>
    </row>
    <row r="59" spans="1:15" ht="14.5" x14ac:dyDescent="0.35">
      <c r="A59" s="154" t="s">
        <v>142</v>
      </c>
      <c r="B59" s="387">
        <f t="shared" si="2"/>
        <v>6510851.7400000002</v>
      </c>
      <c r="C59" s="387">
        <v>297275</v>
      </c>
      <c r="D59" s="387">
        <v>0</v>
      </c>
      <c r="E59" s="387">
        <v>0</v>
      </c>
      <c r="F59" s="387">
        <v>3571664.74</v>
      </c>
      <c r="G59" s="387">
        <v>2641912</v>
      </c>
      <c r="H59" s="387">
        <v>0</v>
      </c>
      <c r="I59" s="387">
        <v>0</v>
      </c>
      <c r="J59" s="387">
        <v>0</v>
      </c>
      <c r="K59" s="387">
        <v>0</v>
      </c>
      <c r="L59" s="387">
        <v>0</v>
      </c>
      <c r="M59" s="387">
        <v>0</v>
      </c>
      <c r="N59" s="448">
        <v>0</v>
      </c>
      <c r="O59" s="54"/>
    </row>
    <row r="60" spans="1:15" ht="14.5" x14ac:dyDescent="0.35">
      <c r="A60" s="154" t="s">
        <v>31</v>
      </c>
      <c r="B60" s="387">
        <f t="shared" si="2"/>
        <v>22502997.189999998</v>
      </c>
      <c r="C60" s="387">
        <v>1943028</v>
      </c>
      <c r="D60" s="387">
        <v>2787984.19</v>
      </c>
      <c r="E60" s="387">
        <v>8351523</v>
      </c>
      <c r="F60" s="387">
        <v>9420462</v>
      </c>
      <c r="G60" s="387">
        <v>0</v>
      </c>
      <c r="H60" s="387">
        <v>0</v>
      </c>
      <c r="I60" s="387">
        <v>0</v>
      </c>
      <c r="J60" s="387">
        <v>0</v>
      </c>
      <c r="K60" s="387">
        <v>0</v>
      </c>
      <c r="L60" s="387">
        <v>0</v>
      </c>
      <c r="M60" s="387">
        <v>0</v>
      </c>
      <c r="N60" s="448">
        <v>0</v>
      </c>
      <c r="O60" s="54"/>
    </row>
    <row r="61" spans="1:15" ht="14.5" x14ac:dyDescent="0.35">
      <c r="A61" s="154" t="s">
        <v>32</v>
      </c>
      <c r="B61" s="387">
        <f t="shared" si="2"/>
        <v>826481510.18000007</v>
      </c>
      <c r="C61" s="387">
        <v>191312934.98000005</v>
      </c>
      <c r="D61" s="387">
        <v>85086183.459999993</v>
      </c>
      <c r="E61" s="387">
        <v>187065894.30999997</v>
      </c>
      <c r="F61" s="387">
        <v>225577526.22000003</v>
      </c>
      <c r="G61" s="387">
        <v>95577013.25</v>
      </c>
      <c r="H61" s="387">
        <v>7086320.2300000004</v>
      </c>
      <c r="I61" s="387">
        <v>2467064.09</v>
      </c>
      <c r="J61" s="387">
        <v>0</v>
      </c>
      <c r="K61" s="387">
        <v>7292862.8900000006</v>
      </c>
      <c r="L61" s="387">
        <v>0</v>
      </c>
      <c r="M61" s="387">
        <v>0</v>
      </c>
      <c r="N61" s="448">
        <v>25015710.75</v>
      </c>
      <c r="O61" s="54"/>
    </row>
    <row r="62" spans="1:15" ht="14.5" x14ac:dyDescent="0.35">
      <c r="A62" s="154" t="s">
        <v>143</v>
      </c>
      <c r="B62" s="387">
        <f t="shared" si="2"/>
        <v>12075826.17</v>
      </c>
      <c r="C62" s="387">
        <v>1705699</v>
      </c>
      <c r="D62" s="387">
        <v>1420813</v>
      </c>
      <c r="E62" s="387">
        <v>791358</v>
      </c>
      <c r="F62" s="387">
        <v>8157956.1699999999</v>
      </c>
      <c r="G62" s="387">
        <v>0</v>
      </c>
      <c r="H62" s="387">
        <v>0</v>
      </c>
      <c r="I62" s="387">
        <v>0</v>
      </c>
      <c r="J62" s="387">
        <v>0</v>
      </c>
      <c r="K62" s="387">
        <v>0</v>
      </c>
      <c r="L62" s="387">
        <v>0</v>
      </c>
      <c r="M62" s="387">
        <v>0</v>
      </c>
      <c r="N62" s="448">
        <v>0</v>
      </c>
      <c r="O62" s="54"/>
    </row>
    <row r="63" spans="1:15" ht="14.5" x14ac:dyDescent="0.35">
      <c r="A63" s="154" t="s">
        <v>33</v>
      </c>
      <c r="B63" s="387">
        <f t="shared" si="2"/>
        <v>6602230.8900000006</v>
      </c>
      <c r="C63" s="387">
        <v>436364.89</v>
      </c>
      <c r="D63" s="387">
        <v>0</v>
      </c>
      <c r="E63" s="387">
        <v>1565243</v>
      </c>
      <c r="F63" s="387">
        <v>4600623</v>
      </c>
      <c r="G63" s="387">
        <v>0</v>
      </c>
      <c r="H63" s="387">
        <v>0</v>
      </c>
      <c r="I63" s="387">
        <v>0</v>
      </c>
      <c r="J63" s="387">
        <v>0</v>
      </c>
      <c r="K63" s="387">
        <v>0</v>
      </c>
      <c r="L63" s="387">
        <v>0</v>
      </c>
      <c r="M63" s="387">
        <v>0</v>
      </c>
      <c r="N63" s="448">
        <v>0</v>
      </c>
      <c r="O63" s="54"/>
    </row>
    <row r="64" spans="1:15" ht="14.5" x14ac:dyDescent="0.35">
      <c r="A64" s="154" t="s">
        <v>34</v>
      </c>
      <c r="B64" s="387">
        <f t="shared" si="2"/>
        <v>19246434.859999999</v>
      </c>
      <c r="C64" s="387">
        <v>7936141.8599999994</v>
      </c>
      <c r="D64" s="387">
        <v>0</v>
      </c>
      <c r="E64" s="387">
        <v>0</v>
      </c>
      <c r="F64" s="387">
        <v>9397848</v>
      </c>
      <c r="G64" s="387">
        <v>1912445</v>
      </c>
      <c r="H64" s="387">
        <v>0</v>
      </c>
      <c r="I64" s="387">
        <v>0</v>
      </c>
      <c r="J64" s="387">
        <v>0</v>
      </c>
      <c r="K64" s="387">
        <v>0</v>
      </c>
      <c r="L64" s="387">
        <v>0</v>
      </c>
      <c r="M64" s="387">
        <v>0</v>
      </c>
      <c r="N64" s="448">
        <v>0</v>
      </c>
      <c r="O64" s="54"/>
    </row>
    <row r="65" spans="1:15" ht="14.5" x14ac:dyDescent="0.35">
      <c r="A65" s="154" t="s">
        <v>35</v>
      </c>
      <c r="B65" s="387">
        <f t="shared" si="2"/>
        <v>374482397.25000006</v>
      </c>
      <c r="C65" s="387">
        <v>166047383.25000003</v>
      </c>
      <c r="D65" s="387">
        <v>51145234.32</v>
      </c>
      <c r="E65" s="387">
        <v>79203893.329999998</v>
      </c>
      <c r="F65" s="387">
        <v>51042339</v>
      </c>
      <c r="G65" s="387">
        <v>15121336</v>
      </c>
      <c r="H65" s="387">
        <v>0</v>
      </c>
      <c r="I65" s="387">
        <v>0</v>
      </c>
      <c r="J65" s="387">
        <v>3152380</v>
      </c>
      <c r="K65" s="387">
        <v>0</v>
      </c>
      <c r="L65" s="387">
        <v>0</v>
      </c>
      <c r="M65" s="387">
        <v>8769831.3499999996</v>
      </c>
      <c r="N65" s="448">
        <v>0</v>
      </c>
      <c r="O65" s="54"/>
    </row>
    <row r="66" spans="1:15" ht="14.5" x14ac:dyDescent="0.35">
      <c r="A66" s="154" t="s">
        <v>36</v>
      </c>
      <c r="B66" s="387">
        <f t="shared" si="2"/>
        <v>3448213243.7000012</v>
      </c>
      <c r="C66" s="387">
        <v>764801526.17000079</v>
      </c>
      <c r="D66" s="387">
        <v>466347705.06</v>
      </c>
      <c r="E66" s="387">
        <v>743263157.85999978</v>
      </c>
      <c r="F66" s="387">
        <v>892917843.89000022</v>
      </c>
      <c r="G66" s="387">
        <v>514510644.93999994</v>
      </c>
      <c r="H66" s="387">
        <v>13633595.539999999</v>
      </c>
      <c r="I66" s="387">
        <v>10869666.09</v>
      </c>
      <c r="J66" s="387">
        <v>440421</v>
      </c>
      <c r="K66" s="387">
        <v>2395011</v>
      </c>
      <c r="L66" s="387">
        <v>3100551.07</v>
      </c>
      <c r="M66" s="387">
        <v>0</v>
      </c>
      <c r="N66" s="448">
        <v>35933121.079999998</v>
      </c>
      <c r="O66" s="54"/>
    </row>
    <row r="67" spans="1:15" ht="14.5" x14ac:dyDescent="0.35">
      <c r="A67" s="154" t="s">
        <v>37</v>
      </c>
      <c r="B67" s="387">
        <f t="shared" si="2"/>
        <v>327368715.53999996</v>
      </c>
      <c r="C67" s="387">
        <v>81909025.36999999</v>
      </c>
      <c r="D67" s="387">
        <v>65789881.700000003</v>
      </c>
      <c r="E67" s="387">
        <v>62037855.119999997</v>
      </c>
      <c r="F67" s="387">
        <v>71295513.349999994</v>
      </c>
      <c r="G67" s="387">
        <v>45018758</v>
      </c>
      <c r="H67" s="387">
        <v>0</v>
      </c>
      <c r="I67" s="387">
        <v>0</v>
      </c>
      <c r="J67" s="387">
        <v>0</v>
      </c>
      <c r="K67" s="387">
        <v>0</v>
      </c>
      <c r="L67" s="387">
        <v>0</v>
      </c>
      <c r="M67" s="387">
        <v>0</v>
      </c>
      <c r="N67" s="448">
        <v>1317682</v>
      </c>
      <c r="O67" s="54"/>
    </row>
    <row r="68" spans="1:15" ht="14.5" x14ac:dyDescent="0.35">
      <c r="A68" s="154" t="s">
        <v>38</v>
      </c>
      <c r="B68" s="387">
        <f t="shared" si="2"/>
        <v>18568962.18</v>
      </c>
      <c r="C68" s="387">
        <v>4602588.8099999996</v>
      </c>
      <c r="D68" s="387">
        <v>5541329.4399999995</v>
      </c>
      <c r="E68" s="387">
        <v>3832505.4699999997</v>
      </c>
      <c r="F68" s="387">
        <v>2749192</v>
      </c>
      <c r="G68" s="387">
        <v>0</v>
      </c>
      <c r="H68" s="387">
        <v>0</v>
      </c>
      <c r="I68" s="387">
        <v>0</v>
      </c>
      <c r="J68" s="387">
        <v>0</v>
      </c>
      <c r="K68" s="387">
        <v>0</v>
      </c>
      <c r="L68" s="387">
        <v>0</v>
      </c>
      <c r="M68" s="387">
        <v>0</v>
      </c>
      <c r="N68" s="448">
        <v>1843346.46</v>
      </c>
      <c r="O68" s="54"/>
    </row>
    <row r="69" spans="1:15" ht="14.5" x14ac:dyDescent="0.35">
      <c r="A69" s="154" t="s">
        <v>39</v>
      </c>
      <c r="B69" s="387">
        <f t="shared" si="2"/>
        <v>15490741.99</v>
      </c>
      <c r="C69" s="387">
        <v>2450929.9900000002</v>
      </c>
      <c r="D69" s="387">
        <v>3824215</v>
      </c>
      <c r="E69" s="387">
        <v>5342843</v>
      </c>
      <c r="F69" s="387">
        <v>3872754</v>
      </c>
      <c r="G69" s="387">
        <v>0</v>
      </c>
      <c r="H69" s="387">
        <v>0</v>
      </c>
      <c r="I69" s="387">
        <v>0</v>
      </c>
      <c r="J69" s="387">
        <v>0</v>
      </c>
      <c r="K69" s="387">
        <v>0</v>
      </c>
      <c r="L69" s="387">
        <v>0</v>
      </c>
      <c r="M69" s="387">
        <v>0</v>
      </c>
      <c r="N69" s="448">
        <v>0</v>
      </c>
      <c r="O69" s="54"/>
    </row>
    <row r="70" spans="1:15" ht="14.5" x14ac:dyDescent="0.35">
      <c r="A70" s="154" t="s">
        <v>267</v>
      </c>
      <c r="B70" s="387">
        <f t="shared" si="2"/>
        <v>28267621.199999999</v>
      </c>
      <c r="C70" s="387">
        <v>6020761.2000000002</v>
      </c>
      <c r="D70" s="387">
        <v>3951961</v>
      </c>
      <c r="E70" s="387">
        <v>8327396</v>
      </c>
      <c r="F70" s="387">
        <v>9327213</v>
      </c>
      <c r="G70" s="387">
        <v>640290</v>
      </c>
      <c r="H70" s="387">
        <v>0</v>
      </c>
      <c r="I70" s="387">
        <v>0</v>
      </c>
      <c r="J70" s="387">
        <v>0</v>
      </c>
      <c r="K70" s="387">
        <v>0</v>
      </c>
      <c r="L70" s="387">
        <v>0</v>
      </c>
      <c r="M70" s="387">
        <v>0</v>
      </c>
      <c r="N70" s="448">
        <v>0</v>
      </c>
      <c r="O70" s="54"/>
    </row>
    <row r="71" spans="1:15" ht="14.5" x14ac:dyDescent="0.35">
      <c r="A71" s="154" t="s">
        <v>40</v>
      </c>
      <c r="B71" s="387">
        <f t="shared" si="2"/>
        <v>2352135802.23</v>
      </c>
      <c r="C71" s="387">
        <v>566964386.35999978</v>
      </c>
      <c r="D71" s="387">
        <v>363795365.40999997</v>
      </c>
      <c r="E71" s="387">
        <v>512091866.19000006</v>
      </c>
      <c r="F71" s="387">
        <v>611655178.15999997</v>
      </c>
      <c r="G71" s="387">
        <v>267730098.78</v>
      </c>
      <c r="H71" s="387">
        <v>8922512.3300000001</v>
      </c>
      <c r="I71" s="387">
        <v>4825487</v>
      </c>
      <c r="J71" s="387">
        <v>0</v>
      </c>
      <c r="K71" s="387">
        <v>3658500</v>
      </c>
      <c r="L71" s="387">
        <v>0</v>
      </c>
      <c r="M71" s="387">
        <v>0</v>
      </c>
      <c r="N71" s="448">
        <v>12492408</v>
      </c>
      <c r="O71" s="54"/>
    </row>
    <row r="72" spans="1:15" ht="14.5" x14ac:dyDescent="0.35">
      <c r="A72" s="154" t="s">
        <v>41</v>
      </c>
      <c r="B72" s="387">
        <f t="shared" si="2"/>
        <v>52057556.390000001</v>
      </c>
      <c r="C72" s="387">
        <v>10216383.469999999</v>
      </c>
      <c r="D72" s="387">
        <v>17987047</v>
      </c>
      <c r="E72" s="387">
        <v>17432775</v>
      </c>
      <c r="F72" s="387">
        <v>6421350.9199999999</v>
      </c>
      <c r="G72" s="387">
        <v>0</v>
      </c>
      <c r="H72" s="387">
        <v>0</v>
      </c>
      <c r="I72" s="387">
        <v>0</v>
      </c>
      <c r="J72" s="387">
        <v>0</v>
      </c>
      <c r="K72" s="387">
        <v>0</v>
      </c>
      <c r="L72" s="387">
        <v>0</v>
      </c>
      <c r="M72" s="387">
        <v>0</v>
      </c>
      <c r="N72" s="448">
        <v>0</v>
      </c>
      <c r="O72" s="54"/>
    </row>
    <row r="73" spans="1:15" ht="14.5" x14ac:dyDescent="0.35">
      <c r="A73" s="154" t="s">
        <v>145</v>
      </c>
      <c r="B73" s="387">
        <f t="shared" si="2"/>
        <v>25921901.100000001</v>
      </c>
      <c r="C73" s="387">
        <v>5770822.1200000001</v>
      </c>
      <c r="D73" s="387">
        <v>3008472</v>
      </c>
      <c r="E73" s="387">
        <v>7417822.46</v>
      </c>
      <c r="F73" s="387">
        <v>6761792.5199999996</v>
      </c>
      <c r="G73" s="387">
        <v>2962992</v>
      </c>
      <c r="H73" s="387">
        <v>0</v>
      </c>
      <c r="I73" s="387">
        <v>0</v>
      </c>
      <c r="J73" s="387">
        <v>0</v>
      </c>
      <c r="K73" s="387">
        <v>0</v>
      </c>
      <c r="L73" s="387">
        <v>0</v>
      </c>
      <c r="M73" s="387">
        <v>0</v>
      </c>
      <c r="N73" s="448">
        <v>0</v>
      </c>
      <c r="O73" s="54"/>
    </row>
    <row r="74" spans="1:15" ht="15" thickBot="1" x14ac:dyDescent="0.4">
      <c r="A74" s="154" t="s">
        <v>165</v>
      </c>
      <c r="B74" s="390">
        <f t="shared" si="2"/>
        <v>5746040.1900000004</v>
      </c>
      <c r="C74" s="390">
        <v>4062051.37</v>
      </c>
      <c r="D74" s="390">
        <v>1463046.82</v>
      </c>
      <c r="E74" s="390">
        <v>0</v>
      </c>
      <c r="F74" s="390">
        <v>0</v>
      </c>
      <c r="G74" s="390">
        <v>0</v>
      </c>
      <c r="H74" s="390">
        <v>0</v>
      </c>
      <c r="I74" s="390">
        <v>0</v>
      </c>
      <c r="J74" s="390">
        <v>0</v>
      </c>
      <c r="K74" s="390">
        <v>0</v>
      </c>
      <c r="L74" s="390">
        <v>0</v>
      </c>
      <c r="M74" s="390">
        <v>0</v>
      </c>
      <c r="N74" s="449">
        <v>220942</v>
      </c>
      <c r="O74" s="54"/>
    </row>
    <row r="75" spans="1:15" ht="14" thickTop="1" x14ac:dyDescent="0.3">
      <c r="A75" s="45" t="s">
        <v>1</v>
      </c>
      <c r="B75" s="20">
        <f t="shared" ref="B75:N75" si="3">SUM(B56:B74)</f>
        <v>8427868882.5000019</v>
      </c>
      <c r="C75" s="20">
        <f t="shared" si="3"/>
        <v>2037711127.8800004</v>
      </c>
      <c r="D75" s="20">
        <f t="shared" si="3"/>
        <v>1259199733.95</v>
      </c>
      <c r="E75" s="20">
        <f t="shared" si="3"/>
        <v>1843025299.9399998</v>
      </c>
      <c r="F75" s="20">
        <f t="shared" si="3"/>
        <v>2096921101.8400002</v>
      </c>
      <c r="G75" s="20">
        <f t="shared" si="3"/>
        <v>1024305572.9699999</v>
      </c>
      <c r="H75" s="20">
        <f t="shared" si="3"/>
        <v>34582970.100000001</v>
      </c>
      <c r="I75" s="20">
        <f t="shared" si="3"/>
        <v>18162217.18</v>
      </c>
      <c r="J75" s="20">
        <f t="shared" si="3"/>
        <v>3592801</v>
      </c>
      <c r="K75" s="20">
        <f t="shared" si="3"/>
        <v>13346373.890000001</v>
      </c>
      <c r="L75" s="20">
        <f t="shared" si="3"/>
        <v>3100551.07</v>
      </c>
      <c r="M75" s="20">
        <f t="shared" si="3"/>
        <v>8769831.3499999996</v>
      </c>
      <c r="N75" s="20">
        <f t="shared" si="3"/>
        <v>85151301.329999998</v>
      </c>
      <c r="O75" s="54"/>
    </row>
    <row r="76" spans="1:15" x14ac:dyDescent="0.3">
      <c r="A76" s="37"/>
      <c r="B76" s="38"/>
      <c r="C76" s="38"/>
      <c r="D76" s="38"/>
      <c r="E76" s="38"/>
      <c r="F76" s="38"/>
      <c r="G76" s="38"/>
      <c r="H76" s="38"/>
      <c r="I76" s="392"/>
      <c r="J76" s="392"/>
      <c r="K76" s="392"/>
      <c r="L76" s="392"/>
      <c r="M76" s="392"/>
      <c r="N76" s="392"/>
      <c r="O76" s="54"/>
    </row>
    <row r="77" spans="1:15" x14ac:dyDescent="0.3">
      <c r="A77" s="37"/>
      <c r="B77" s="38"/>
      <c r="C77" s="38"/>
      <c r="D77" s="38"/>
      <c r="E77" s="38"/>
      <c r="F77" s="38"/>
      <c r="G77" s="38"/>
      <c r="H77" s="38"/>
      <c r="I77" s="392"/>
      <c r="J77" s="392"/>
      <c r="K77" s="392"/>
      <c r="L77" s="392"/>
      <c r="M77" s="392"/>
      <c r="N77" s="392"/>
      <c r="O77" s="54"/>
    </row>
    <row r="78" spans="1:15" x14ac:dyDescent="0.3">
      <c r="O78" s="54"/>
    </row>
    <row r="79" spans="1:15" x14ac:dyDescent="0.3">
      <c r="A79" s="187" t="s">
        <v>226</v>
      </c>
      <c r="B79" s="187"/>
      <c r="C79" s="187"/>
      <c r="D79" s="187"/>
      <c r="E79" s="187"/>
      <c r="F79" s="187"/>
      <c r="G79" s="187"/>
      <c r="H79" s="187"/>
      <c r="I79" s="187"/>
      <c r="J79" s="187"/>
      <c r="K79" s="187"/>
      <c r="L79" s="187"/>
      <c r="M79" s="187"/>
      <c r="N79" s="187"/>
      <c r="O79" s="54"/>
    </row>
    <row r="80" spans="1:15"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c r="O80" s="185"/>
    </row>
    <row r="81" spans="1:16" x14ac:dyDescent="0.3">
      <c r="A81" s="12"/>
      <c r="B81" s="11"/>
      <c r="C81" s="13"/>
      <c r="D81" s="13"/>
      <c r="E81" s="17"/>
      <c r="F81" s="13"/>
      <c r="G81" s="13"/>
      <c r="H81" s="13"/>
      <c r="I81" s="13"/>
      <c r="J81" s="13"/>
      <c r="K81" s="13"/>
      <c r="L81" s="13"/>
      <c r="M81" s="13"/>
      <c r="N81" s="13"/>
      <c r="O81" s="54"/>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c r="O82" s="54"/>
    </row>
    <row r="83" spans="1:16" x14ac:dyDescent="0.3">
      <c r="A83" s="41" t="s">
        <v>182</v>
      </c>
      <c r="B83" s="437">
        <f>SUM(C83:N83)</f>
        <v>8422054977.5000019</v>
      </c>
      <c r="C83" s="394">
        <f>+C99-C84-C85-C86</f>
        <v>2037711127.8800006</v>
      </c>
      <c r="D83" s="394">
        <f t="shared" ref="D83:N83" si="4">+D99-D84-D85-D86</f>
        <v>1259199733.9499996</v>
      </c>
      <c r="E83" s="394">
        <f t="shared" si="4"/>
        <v>1837211394.9400001</v>
      </c>
      <c r="F83" s="394">
        <f t="shared" si="4"/>
        <v>2096921101.8399997</v>
      </c>
      <c r="G83" s="394">
        <f t="shared" si="4"/>
        <v>1024305572.9700001</v>
      </c>
      <c r="H83" s="394">
        <f t="shared" si="4"/>
        <v>34582970.099999994</v>
      </c>
      <c r="I83" s="394">
        <f t="shared" si="4"/>
        <v>18162217.18</v>
      </c>
      <c r="J83" s="394">
        <f t="shared" si="4"/>
        <v>3592801</v>
      </c>
      <c r="K83" s="394">
        <f t="shared" si="4"/>
        <v>13346373.890000001</v>
      </c>
      <c r="L83" s="394">
        <f t="shared" si="4"/>
        <v>3100551.07</v>
      </c>
      <c r="M83" s="394">
        <f t="shared" si="4"/>
        <v>8769831.3499999996</v>
      </c>
      <c r="N83" s="394">
        <f t="shared" si="4"/>
        <v>85151301.329999998</v>
      </c>
      <c r="O83" s="54"/>
    </row>
    <row r="84" spans="1:16" x14ac:dyDescent="0.3">
      <c r="A84" s="49" t="s">
        <v>183</v>
      </c>
      <c r="B84" s="397">
        <f t="shared" ref="B84:B86" si="5">SUM(C84:N84)</f>
        <v>4792091</v>
      </c>
      <c r="C84" s="395"/>
      <c r="D84" s="395">
        <v>0</v>
      </c>
      <c r="E84" s="395">
        <v>4792091</v>
      </c>
      <c r="F84" s="395"/>
      <c r="G84" s="395"/>
      <c r="H84" s="395"/>
      <c r="I84" s="398"/>
      <c r="J84" s="398"/>
      <c r="K84" s="398"/>
      <c r="L84" s="398"/>
      <c r="M84" s="398"/>
      <c r="N84" s="398"/>
      <c r="O84" s="399"/>
    </row>
    <row r="85" spans="1:16" x14ac:dyDescent="0.3">
      <c r="A85" s="42" t="s">
        <v>184</v>
      </c>
      <c r="B85" s="397">
        <f t="shared" si="5"/>
        <v>1021814</v>
      </c>
      <c r="C85" s="400"/>
      <c r="D85" s="400"/>
      <c r="E85" s="401">
        <v>1021814</v>
      </c>
      <c r="F85" s="395"/>
      <c r="G85" s="395"/>
      <c r="H85" s="395"/>
      <c r="I85" s="398"/>
      <c r="J85" s="398"/>
      <c r="K85" s="398"/>
      <c r="L85" s="398"/>
      <c r="M85" s="398"/>
      <c r="N85" s="402"/>
      <c r="O85" s="54"/>
    </row>
    <row r="86" spans="1:16" ht="14" thickBot="1" x14ac:dyDescent="0.35">
      <c r="A86" s="42" t="s">
        <v>185</v>
      </c>
      <c r="B86" s="397">
        <f t="shared" si="5"/>
        <v>0</v>
      </c>
      <c r="C86" s="400"/>
      <c r="D86" s="400"/>
      <c r="E86" s="401"/>
      <c r="F86" s="395"/>
      <c r="G86" s="395"/>
      <c r="H86" s="395"/>
      <c r="I86" s="398"/>
      <c r="J86" s="398"/>
      <c r="K86" s="398"/>
      <c r="L86" s="398"/>
      <c r="M86" s="398"/>
      <c r="N86" s="402"/>
      <c r="O86" s="54"/>
    </row>
    <row r="87" spans="1:16" ht="14" thickTop="1" x14ac:dyDescent="0.3">
      <c r="A87" s="44" t="s">
        <v>1</v>
      </c>
      <c r="B87" s="22">
        <f t="shared" ref="B87:N87" si="6">SUM(B83:B86)</f>
        <v>8427868882.5000019</v>
      </c>
      <c r="C87" s="22">
        <f t="shared" si="6"/>
        <v>2037711127.8800006</v>
      </c>
      <c r="D87" s="22">
        <f t="shared" si="6"/>
        <v>1259199733.9499996</v>
      </c>
      <c r="E87" s="22">
        <f t="shared" si="6"/>
        <v>1843025299.9400001</v>
      </c>
      <c r="F87" s="22">
        <f t="shared" si="6"/>
        <v>2096921101.8399997</v>
      </c>
      <c r="G87" s="22">
        <f t="shared" si="6"/>
        <v>1024305572.9700001</v>
      </c>
      <c r="H87" s="22">
        <f t="shared" si="6"/>
        <v>34582970.099999994</v>
      </c>
      <c r="I87" s="22">
        <f t="shared" si="6"/>
        <v>18162217.18</v>
      </c>
      <c r="J87" s="22">
        <f t="shared" si="6"/>
        <v>3592801</v>
      </c>
      <c r="K87" s="22">
        <f t="shared" si="6"/>
        <v>13346373.890000001</v>
      </c>
      <c r="L87" s="22">
        <f t="shared" si="6"/>
        <v>3100551.07</v>
      </c>
      <c r="M87" s="22">
        <f t="shared" si="6"/>
        <v>8769831.3499999996</v>
      </c>
      <c r="N87" s="23">
        <f t="shared" si="6"/>
        <v>85151301.329999998</v>
      </c>
      <c r="O87" s="54"/>
    </row>
    <row r="88" spans="1:16" x14ac:dyDescent="0.3">
      <c r="A88" s="26"/>
      <c r="B88" s="40"/>
      <c r="C88" s="40"/>
      <c r="D88" s="40"/>
      <c r="E88" s="40"/>
      <c r="F88" s="40"/>
      <c r="G88" s="40"/>
      <c r="H88" s="40"/>
      <c r="I88" s="40"/>
      <c r="J88" s="40"/>
      <c r="K88" s="40"/>
      <c r="L88" s="40"/>
      <c r="M88" s="40"/>
      <c r="N88" s="40"/>
      <c r="O88" s="54"/>
    </row>
    <row r="89" spans="1:16" x14ac:dyDescent="0.3">
      <c r="O89" s="54"/>
    </row>
    <row r="90" spans="1:16" x14ac:dyDescent="0.3">
      <c r="A90" s="187" t="s">
        <v>227</v>
      </c>
      <c r="B90" s="187"/>
      <c r="C90" s="187"/>
      <c r="D90" s="187"/>
      <c r="E90" s="187"/>
      <c r="F90" s="187"/>
      <c r="G90" s="187"/>
      <c r="H90" s="187"/>
      <c r="I90" s="187"/>
      <c r="J90" s="187"/>
      <c r="K90" s="187"/>
      <c r="L90" s="187"/>
      <c r="M90" s="187"/>
      <c r="N90" s="187"/>
      <c r="O90" s="5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c r="O91" s="54"/>
    </row>
    <row r="92" spans="1:16" x14ac:dyDescent="0.3">
      <c r="A92" s="46"/>
      <c r="B92" s="11"/>
      <c r="C92" s="13"/>
      <c r="D92" s="13"/>
      <c r="E92" s="17"/>
      <c r="F92" s="13"/>
      <c r="G92" s="13"/>
      <c r="H92" s="13"/>
      <c r="I92" s="13"/>
      <c r="J92" s="13"/>
      <c r="K92" s="13"/>
      <c r="L92" s="13"/>
      <c r="M92" s="13"/>
      <c r="N92" s="13"/>
      <c r="O92" s="185"/>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c r="O93" s="54"/>
    </row>
    <row r="94" spans="1:16" x14ac:dyDescent="0.3">
      <c r="A94" s="42" t="s">
        <v>62</v>
      </c>
      <c r="B94" s="393">
        <f>SUM(C94:N94)</f>
        <v>836565438.83999991</v>
      </c>
      <c r="C94" s="403">
        <v>112487056.62999997</v>
      </c>
      <c r="D94" s="404">
        <v>104054175.53</v>
      </c>
      <c r="E94" s="404">
        <v>207932553.10000002</v>
      </c>
      <c r="F94" s="404">
        <v>187136290.57999998</v>
      </c>
      <c r="G94" s="404">
        <v>212399627</v>
      </c>
      <c r="H94" s="405">
        <v>0</v>
      </c>
      <c r="I94" s="406">
        <v>0</v>
      </c>
      <c r="J94" s="397">
        <v>0</v>
      </c>
      <c r="K94" s="393">
        <v>0</v>
      </c>
      <c r="L94" s="407">
        <v>0</v>
      </c>
      <c r="M94" s="407">
        <v>0</v>
      </c>
      <c r="N94" s="393">
        <v>12555736</v>
      </c>
      <c r="O94" s="54">
        <v>0</v>
      </c>
    </row>
    <row r="95" spans="1:16" x14ac:dyDescent="0.3">
      <c r="A95" s="42" t="s">
        <v>63</v>
      </c>
      <c r="B95" s="397">
        <f t="shared" ref="B95:B98" si="7">SUM(C95:N95)</f>
        <v>1574695073.3299999</v>
      </c>
      <c r="C95" s="408">
        <v>246955335.34999996</v>
      </c>
      <c r="D95" s="405">
        <v>193442841.28999996</v>
      </c>
      <c r="E95" s="405">
        <v>375033522.77000004</v>
      </c>
      <c r="F95" s="405">
        <v>432103795.18999994</v>
      </c>
      <c r="G95" s="405">
        <v>308219654.69</v>
      </c>
      <c r="H95" s="405">
        <v>2145919</v>
      </c>
      <c r="I95" s="406">
        <v>1975487</v>
      </c>
      <c r="J95" s="397">
        <v>0</v>
      </c>
      <c r="K95" s="397">
        <v>0</v>
      </c>
      <c r="L95" s="406">
        <v>0</v>
      </c>
      <c r="M95" s="406">
        <v>0</v>
      </c>
      <c r="N95" s="397">
        <v>14818518.039999999</v>
      </c>
      <c r="O95" s="54">
        <v>39874.720000000001</v>
      </c>
    </row>
    <row r="96" spans="1:16" x14ac:dyDescent="0.3">
      <c r="A96" s="42" t="s">
        <v>64</v>
      </c>
      <c r="B96" s="397">
        <f t="shared" si="7"/>
        <v>1722910028.6599996</v>
      </c>
      <c r="C96" s="408">
        <v>302305241.21999991</v>
      </c>
      <c r="D96" s="405">
        <v>232529416.27999997</v>
      </c>
      <c r="E96" s="405">
        <v>411789953.92000008</v>
      </c>
      <c r="F96" s="405">
        <v>557293230.41999996</v>
      </c>
      <c r="G96" s="405">
        <v>180494645</v>
      </c>
      <c r="H96" s="405">
        <v>4303007.33</v>
      </c>
      <c r="I96" s="406">
        <v>5317064.09</v>
      </c>
      <c r="J96" s="397">
        <v>3152380</v>
      </c>
      <c r="K96" s="397">
        <v>8534288</v>
      </c>
      <c r="L96" s="406">
        <v>0</v>
      </c>
      <c r="M96" s="406">
        <v>8769831.3499999996</v>
      </c>
      <c r="N96" s="397">
        <v>8420971.0500000007</v>
      </c>
      <c r="O96" s="54">
        <v>5367266</v>
      </c>
    </row>
    <row r="97" spans="1:15" x14ac:dyDescent="0.3">
      <c r="A97" s="42" t="s">
        <v>65</v>
      </c>
      <c r="B97" s="397">
        <f t="shared" si="7"/>
        <v>2085628922.3399999</v>
      </c>
      <c r="C97" s="408">
        <v>507706887.93000013</v>
      </c>
      <c r="D97" s="405">
        <v>307220345.56999993</v>
      </c>
      <c r="E97" s="405">
        <v>430040278.52000004</v>
      </c>
      <c r="F97" s="405">
        <v>564805826.69999993</v>
      </c>
      <c r="G97" s="405">
        <v>230922214.91000003</v>
      </c>
      <c r="H97" s="405">
        <v>16021303</v>
      </c>
      <c r="I97" s="406">
        <v>5593721.3300000001</v>
      </c>
      <c r="J97" s="397">
        <v>0</v>
      </c>
      <c r="K97" s="397">
        <v>0</v>
      </c>
      <c r="L97" s="406">
        <v>0</v>
      </c>
      <c r="M97" s="406">
        <v>0</v>
      </c>
      <c r="N97" s="397">
        <v>23318344.379999999</v>
      </c>
      <c r="O97" s="54">
        <v>21930.29</v>
      </c>
    </row>
    <row r="98" spans="1:15" ht="14" thickBot="1" x14ac:dyDescent="0.35">
      <c r="A98" s="43" t="s">
        <v>66</v>
      </c>
      <c r="B98" s="409">
        <f t="shared" si="7"/>
        <v>2208069419.3300009</v>
      </c>
      <c r="C98" s="410">
        <v>868256606.75000083</v>
      </c>
      <c r="D98" s="410">
        <v>421952955.27999979</v>
      </c>
      <c r="E98" s="410">
        <v>418228991.63</v>
      </c>
      <c r="F98" s="410">
        <v>355581958.94999993</v>
      </c>
      <c r="G98" s="410">
        <v>92269431.370000005</v>
      </c>
      <c r="H98" s="410">
        <v>12112740.77</v>
      </c>
      <c r="I98" s="411">
        <v>5275944.76</v>
      </c>
      <c r="J98" s="409">
        <v>440421</v>
      </c>
      <c r="K98" s="409">
        <v>4812085.8900000006</v>
      </c>
      <c r="L98" s="411">
        <v>3100551.07</v>
      </c>
      <c r="M98" s="411">
        <v>0</v>
      </c>
      <c r="N98" s="409">
        <v>26037731.860000003</v>
      </c>
      <c r="O98" s="54">
        <v>2734125.7599999988</v>
      </c>
    </row>
    <row r="99" spans="1:15" ht="14" thickTop="1" x14ac:dyDescent="0.3">
      <c r="A99" s="42" t="s">
        <v>1</v>
      </c>
      <c r="B99" s="412">
        <f>SUM(B94:B98)</f>
        <v>8427868882.500001</v>
      </c>
      <c r="C99" s="412">
        <f>SUM(C94:C98)</f>
        <v>2037711127.8800006</v>
      </c>
      <c r="D99" s="412">
        <f t="shared" ref="D99:N99" si="8">SUM(D94:D98)</f>
        <v>1259199733.9499996</v>
      </c>
      <c r="E99" s="412">
        <f t="shared" si="8"/>
        <v>1843025299.9400001</v>
      </c>
      <c r="F99" s="412">
        <f t="shared" si="8"/>
        <v>2096921101.8399997</v>
      </c>
      <c r="G99" s="412">
        <f t="shared" si="8"/>
        <v>1024305572.9700001</v>
      </c>
      <c r="H99" s="412">
        <f t="shared" si="8"/>
        <v>34582970.099999994</v>
      </c>
      <c r="I99" s="412">
        <f t="shared" si="8"/>
        <v>18162217.18</v>
      </c>
      <c r="J99" s="412">
        <f t="shared" si="8"/>
        <v>3592801</v>
      </c>
      <c r="K99" s="412">
        <f t="shared" si="8"/>
        <v>13346373.890000001</v>
      </c>
      <c r="L99" s="412">
        <f t="shared" si="8"/>
        <v>3100551.07</v>
      </c>
      <c r="M99" s="412">
        <f t="shared" si="8"/>
        <v>8769831.3499999996</v>
      </c>
      <c r="N99" s="412">
        <f t="shared" si="8"/>
        <v>85151301.329999998</v>
      </c>
      <c r="O99" s="399"/>
    </row>
    <row r="100" spans="1:15" x14ac:dyDescent="0.3">
      <c r="A100" s="26"/>
      <c r="B100" s="413"/>
      <c r="C100" s="413"/>
      <c r="D100" s="413"/>
      <c r="E100" s="413"/>
      <c r="F100" s="413"/>
      <c r="G100" s="413"/>
      <c r="H100" s="413"/>
      <c r="I100" s="413"/>
      <c r="J100" s="413"/>
      <c r="K100" s="413"/>
      <c r="L100" s="413"/>
      <c r="M100" s="413"/>
      <c r="N100" s="413"/>
      <c r="O100" s="55"/>
    </row>
    <row r="101" spans="1:15" x14ac:dyDescent="0.3">
      <c r="A101" s="67"/>
      <c r="O101" s="54"/>
    </row>
    <row r="102" spans="1:15" x14ac:dyDescent="0.3">
      <c r="A102" s="187" t="s">
        <v>228</v>
      </c>
      <c r="B102" s="187"/>
      <c r="C102" s="187"/>
      <c r="D102" s="187"/>
      <c r="E102" s="187"/>
      <c r="F102" s="187"/>
      <c r="G102" s="187"/>
      <c r="H102" s="187"/>
      <c r="I102" s="187"/>
      <c r="J102" s="187"/>
      <c r="K102" s="187"/>
      <c r="L102" s="187"/>
      <c r="M102" s="187"/>
      <c r="N102" s="187"/>
      <c r="O102" s="54"/>
    </row>
    <row r="103" spans="1:15" x14ac:dyDescent="0.3">
      <c r="A103" s="108"/>
      <c r="B103" s="110"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c r="O103" s="54"/>
    </row>
    <row r="104" spans="1:15" x14ac:dyDescent="0.3">
      <c r="A104" s="46"/>
      <c r="B104" s="13"/>
      <c r="C104" s="13"/>
      <c r="D104" s="13"/>
      <c r="E104" s="17"/>
      <c r="F104" s="13"/>
      <c r="G104" s="13"/>
      <c r="H104" s="13"/>
      <c r="I104" s="13"/>
      <c r="J104" s="13"/>
      <c r="K104" s="13"/>
      <c r="L104" s="13"/>
      <c r="M104" s="13"/>
      <c r="N104" s="13"/>
      <c r="O104" s="54"/>
    </row>
    <row r="105" spans="1:15" ht="27" x14ac:dyDescent="0.3">
      <c r="A105" s="47"/>
      <c r="B105" s="15" t="s">
        <v>4</v>
      </c>
      <c r="C105" s="15" t="s">
        <v>4</v>
      </c>
      <c r="D105" s="15" t="s">
        <v>4</v>
      </c>
      <c r="E105" s="14" t="s">
        <v>4</v>
      </c>
      <c r="F105" s="15" t="s">
        <v>4</v>
      </c>
      <c r="G105" s="15" t="s">
        <v>4</v>
      </c>
      <c r="H105" s="15" t="s">
        <v>4</v>
      </c>
      <c r="I105" s="15" t="s">
        <v>4</v>
      </c>
      <c r="J105" s="15" t="s">
        <v>4</v>
      </c>
      <c r="K105" s="15" t="s">
        <v>4</v>
      </c>
      <c r="L105" s="15" t="s">
        <v>4</v>
      </c>
      <c r="M105" s="15" t="s">
        <v>4</v>
      </c>
      <c r="N105" s="15" t="s">
        <v>4</v>
      </c>
      <c r="O105" s="54"/>
    </row>
    <row r="106" spans="1:15" ht="14.5" x14ac:dyDescent="0.35">
      <c r="A106" s="42" t="s">
        <v>201</v>
      </c>
      <c r="B106" s="393">
        <f>SUM(C106:N106)</f>
        <v>8399814383.9000034</v>
      </c>
      <c r="C106" s="414">
        <v>2021499328.2800012</v>
      </c>
      <c r="D106" s="387">
        <v>1257778920.9500005</v>
      </c>
      <c r="E106" s="414">
        <v>1836898321.9400001</v>
      </c>
      <c r="F106" s="387">
        <v>2095382930.8400002</v>
      </c>
      <c r="G106" s="414">
        <v>1021548835.9700001</v>
      </c>
      <c r="H106" s="387">
        <v>34582970.099999994</v>
      </c>
      <c r="I106" s="414">
        <v>18162217.18</v>
      </c>
      <c r="J106" s="387">
        <v>3592801</v>
      </c>
      <c r="K106" s="414">
        <v>13346373.890000001</v>
      </c>
      <c r="L106" s="387">
        <v>3100551.07</v>
      </c>
      <c r="M106" s="414">
        <v>8769831.3499999996</v>
      </c>
      <c r="N106" s="414">
        <v>85151301.329999998</v>
      </c>
      <c r="O106" s="54"/>
    </row>
    <row r="107" spans="1:15" ht="14.5" x14ac:dyDescent="0.35">
      <c r="A107" s="42" t="s">
        <v>202</v>
      </c>
      <c r="B107" s="397">
        <f t="shared" ref="B107:B109" si="9">SUM(C107:N107)</f>
        <v>18440599.600000001</v>
      </c>
      <c r="C107" s="415">
        <v>9354637.5999999996</v>
      </c>
      <c r="D107" s="387">
        <v>1420813</v>
      </c>
      <c r="E107" s="415">
        <v>6126978</v>
      </c>
      <c r="F107" s="387">
        <v>1538171</v>
      </c>
      <c r="G107" s="415">
        <v>0</v>
      </c>
      <c r="H107" s="387">
        <v>0</v>
      </c>
      <c r="I107" s="415">
        <v>0</v>
      </c>
      <c r="J107" s="387">
        <v>0</v>
      </c>
      <c r="K107" s="415">
        <v>0</v>
      </c>
      <c r="L107" s="387">
        <v>0</v>
      </c>
      <c r="M107" s="415">
        <v>0</v>
      </c>
      <c r="N107" s="415">
        <v>0</v>
      </c>
      <c r="O107" s="54"/>
    </row>
    <row r="108" spans="1:15" x14ac:dyDescent="0.3">
      <c r="A108" s="42" t="s">
        <v>58</v>
      </c>
      <c r="B108" s="397">
        <f t="shared" si="9"/>
        <v>8776989</v>
      </c>
      <c r="C108" s="416">
        <v>6020252</v>
      </c>
      <c r="D108" s="417">
        <v>0</v>
      </c>
      <c r="E108" s="416">
        <v>0</v>
      </c>
      <c r="F108" s="417">
        <v>0</v>
      </c>
      <c r="G108" s="416">
        <v>2756737</v>
      </c>
      <c r="H108" s="418">
        <v>0</v>
      </c>
      <c r="I108" s="419">
        <v>0</v>
      </c>
      <c r="J108" s="420">
        <v>0</v>
      </c>
      <c r="K108" s="419">
        <v>0</v>
      </c>
      <c r="L108" s="420">
        <v>0</v>
      </c>
      <c r="M108" s="419">
        <v>0</v>
      </c>
      <c r="N108" s="419">
        <v>0</v>
      </c>
      <c r="O108" s="54"/>
    </row>
    <row r="109" spans="1:15" ht="14" thickBot="1" x14ac:dyDescent="0.35">
      <c r="A109" s="43" t="s">
        <v>203</v>
      </c>
      <c r="B109" s="397">
        <f t="shared" si="9"/>
        <v>836910</v>
      </c>
      <c r="C109" s="422">
        <v>836910</v>
      </c>
      <c r="D109" s="417">
        <v>0</v>
      </c>
      <c r="E109" s="422">
        <v>0</v>
      </c>
      <c r="F109" s="417">
        <v>0</v>
      </c>
      <c r="G109" s="422">
        <v>0</v>
      </c>
      <c r="H109" s="418">
        <v>0</v>
      </c>
      <c r="I109" s="423">
        <v>0</v>
      </c>
      <c r="J109" s="420">
        <v>0</v>
      </c>
      <c r="K109" s="423">
        <v>0</v>
      </c>
      <c r="L109" s="420">
        <v>0</v>
      </c>
      <c r="M109" s="423">
        <v>0</v>
      </c>
      <c r="N109" s="424">
        <v>0</v>
      </c>
      <c r="O109" s="54"/>
    </row>
    <row r="110" spans="1:15" ht="14" thickTop="1" x14ac:dyDescent="0.3">
      <c r="A110" s="42" t="s">
        <v>1</v>
      </c>
      <c r="B110" s="97">
        <f>SUM(B106:B109)</f>
        <v>8427868882.5000038</v>
      </c>
      <c r="C110" s="97">
        <f>SUM(C106:C109)</f>
        <v>2037711127.8800011</v>
      </c>
      <c r="D110" s="97">
        <f t="shared" ref="D110:N110" si="10">SUM(D106:D109)</f>
        <v>1259199733.9500005</v>
      </c>
      <c r="E110" s="97">
        <f t="shared" si="10"/>
        <v>1843025299.9400001</v>
      </c>
      <c r="F110" s="97">
        <f t="shared" si="10"/>
        <v>2096921101.8400002</v>
      </c>
      <c r="G110" s="97">
        <f t="shared" si="10"/>
        <v>1024305572.9700001</v>
      </c>
      <c r="H110" s="97">
        <f t="shared" si="10"/>
        <v>34582970.099999994</v>
      </c>
      <c r="I110" s="97">
        <f t="shared" si="10"/>
        <v>18162217.18</v>
      </c>
      <c r="J110" s="97">
        <f t="shared" si="10"/>
        <v>3592801</v>
      </c>
      <c r="K110" s="97">
        <f t="shared" si="10"/>
        <v>13346373.890000001</v>
      </c>
      <c r="L110" s="97">
        <f t="shared" si="10"/>
        <v>3100551.07</v>
      </c>
      <c r="M110" s="97">
        <f t="shared" si="10"/>
        <v>8769831.3499999996</v>
      </c>
      <c r="N110" s="97">
        <f t="shared" si="10"/>
        <v>85151301.329999998</v>
      </c>
      <c r="O110" s="54"/>
    </row>
    <row r="111" spans="1:15" x14ac:dyDescent="0.3">
      <c r="A111" s="26"/>
      <c r="B111" s="99"/>
      <c r="C111" s="99"/>
      <c r="D111" s="99"/>
      <c r="E111" s="99"/>
      <c r="F111" s="99"/>
      <c r="G111" s="99"/>
      <c r="H111" s="99"/>
      <c r="I111" s="99"/>
      <c r="J111" s="99"/>
      <c r="K111" s="99"/>
      <c r="L111" s="99"/>
      <c r="M111" s="99"/>
      <c r="N111" s="99"/>
    </row>
    <row r="113" spans="1:15" x14ac:dyDescent="0.3">
      <c r="A113" s="187" t="s">
        <v>229</v>
      </c>
      <c r="B113" s="187"/>
      <c r="C113" s="187"/>
      <c r="D113" s="187"/>
      <c r="E113" s="187"/>
      <c r="F113" s="187"/>
      <c r="G113" s="187"/>
      <c r="H113" s="187"/>
      <c r="I113" s="187"/>
      <c r="J113" s="187"/>
      <c r="K113" s="187"/>
      <c r="L113" s="187"/>
      <c r="M113" s="187"/>
      <c r="N113" s="187"/>
      <c r="O113" s="5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c r="O114" s="54"/>
    </row>
    <row r="115" spans="1:15" x14ac:dyDescent="0.3">
      <c r="A115" s="48"/>
      <c r="B115" s="11"/>
      <c r="C115" s="13"/>
      <c r="D115" s="13"/>
      <c r="E115" s="17"/>
      <c r="F115" s="13"/>
      <c r="G115" s="13"/>
      <c r="H115" s="13"/>
      <c r="I115" s="13"/>
      <c r="J115" s="13"/>
      <c r="K115" s="13"/>
      <c r="L115" s="13"/>
      <c r="M115" s="13"/>
      <c r="N115" s="13"/>
      <c r="O115" s="54"/>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c r="O116" s="54"/>
    </row>
    <row r="117" spans="1:15" x14ac:dyDescent="0.3">
      <c r="A117" s="42" t="s">
        <v>57</v>
      </c>
      <c r="B117" s="394">
        <f>SUM(C117:N117)</f>
        <v>8427868882.5000038</v>
      </c>
      <c r="C117" s="394">
        <f>+C110</f>
        <v>2037711127.8800011</v>
      </c>
      <c r="D117" s="394">
        <f t="shared" ref="D117:N117" si="11">+D110</f>
        <v>1259199733.9500005</v>
      </c>
      <c r="E117" s="394">
        <f t="shared" si="11"/>
        <v>1843025299.9400001</v>
      </c>
      <c r="F117" s="394">
        <f t="shared" si="11"/>
        <v>2096921101.8400002</v>
      </c>
      <c r="G117" s="394">
        <f t="shared" si="11"/>
        <v>1024305572.9700001</v>
      </c>
      <c r="H117" s="394">
        <f t="shared" si="11"/>
        <v>34582970.099999994</v>
      </c>
      <c r="I117" s="394">
        <f t="shared" si="11"/>
        <v>18162217.18</v>
      </c>
      <c r="J117" s="394">
        <f t="shared" si="11"/>
        <v>3592801</v>
      </c>
      <c r="K117" s="394">
        <f t="shared" si="11"/>
        <v>13346373.890000001</v>
      </c>
      <c r="L117" s="394">
        <f t="shared" si="11"/>
        <v>3100551.07</v>
      </c>
      <c r="M117" s="394">
        <f t="shared" si="11"/>
        <v>8769831.3499999996</v>
      </c>
      <c r="N117" s="394">
        <f t="shared" si="11"/>
        <v>85151301.329999998</v>
      </c>
      <c r="O117" s="399"/>
    </row>
    <row r="118" spans="1:15" x14ac:dyDescent="0.3">
      <c r="A118" s="42" t="s">
        <v>67</v>
      </c>
      <c r="B118" s="100"/>
      <c r="C118" s="417"/>
      <c r="D118" s="417"/>
      <c r="E118" s="417"/>
      <c r="F118" s="417"/>
      <c r="G118" s="417"/>
      <c r="H118" s="417"/>
      <c r="I118" s="425"/>
      <c r="J118" s="425"/>
      <c r="K118" s="425"/>
      <c r="L118" s="425"/>
      <c r="M118" s="425"/>
      <c r="N118" s="425"/>
      <c r="O118" s="399"/>
    </row>
    <row r="119" spans="1:15" x14ac:dyDescent="0.3">
      <c r="A119" s="42" t="s">
        <v>68</v>
      </c>
      <c r="B119" s="100"/>
      <c r="C119" s="417"/>
      <c r="D119" s="417"/>
      <c r="E119" s="417"/>
      <c r="F119" s="417"/>
      <c r="G119" s="417"/>
      <c r="H119" s="417"/>
      <c r="I119" s="425"/>
      <c r="J119" s="425"/>
      <c r="K119" s="425"/>
      <c r="L119" s="425"/>
      <c r="M119" s="425"/>
      <c r="N119" s="425"/>
      <c r="O119" s="399"/>
    </row>
    <row r="120" spans="1:15" ht="14" thickBot="1" x14ac:dyDescent="0.35">
      <c r="A120" s="43" t="s">
        <v>69</v>
      </c>
      <c r="B120" s="93"/>
      <c r="C120" s="426"/>
      <c r="D120" s="426"/>
      <c r="E120" s="426"/>
      <c r="F120" s="426"/>
      <c r="G120" s="426"/>
      <c r="H120" s="426"/>
      <c r="I120" s="427"/>
      <c r="J120" s="427"/>
      <c r="K120" s="427"/>
      <c r="L120" s="427"/>
      <c r="M120" s="427"/>
      <c r="N120" s="427"/>
      <c r="O120" s="399"/>
    </row>
    <row r="121" spans="1:15" ht="14" thickTop="1" x14ac:dyDescent="0.3">
      <c r="A121" s="42" t="s">
        <v>1</v>
      </c>
      <c r="B121" s="97">
        <f>SUM(B117:B120)</f>
        <v>8427868882.5000038</v>
      </c>
      <c r="C121" s="97">
        <f>SUM(C117:C120)</f>
        <v>2037711127.8800011</v>
      </c>
      <c r="D121" s="97">
        <f t="shared" ref="D121:N121" si="12">SUM(D117:D120)</f>
        <v>1259199733.9500005</v>
      </c>
      <c r="E121" s="97">
        <f t="shared" si="12"/>
        <v>1843025299.9400001</v>
      </c>
      <c r="F121" s="97">
        <f t="shared" si="12"/>
        <v>2096921101.8400002</v>
      </c>
      <c r="G121" s="97">
        <f t="shared" si="12"/>
        <v>1024305572.9700001</v>
      </c>
      <c r="H121" s="97">
        <f t="shared" si="12"/>
        <v>34582970.099999994</v>
      </c>
      <c r="I121" s="97">
        <f t="shared" si="12"/>
        <v>18162217.18</v>
      </c>
      <c r="J121" s="97">
        <f t="shared" si="12"/>
        <v>3592801</v>
      </c>
      <c r="K121" s="97">
        <f t="shared" si="12"/>
        <v>13346373.890000001</v>
      </c>
      <c r="L121" s="97">
        <f t="shared" si="12"/>
        <v>3100551.07</v>
      </c>
      <c r="M121" s="97">
        <f t="shared" si="12"/>
        <v>8769831.3499999996</v>
      </c>
      <c r="N121" s="97">
        <f t="shared" si="12"/>
        <v>85151301.329999998</v>
      </c>
      <c r="O121" s="399"/>
    </row>
    <row r="122" spans="1:15" x14ac:dyDescent="0.3">
      <c r="A122" s="26"/>
      <c r="B122" s="99"/>
      <c r="C122" s="99"/>
      <c r="D122" s="99"/>
      <c r="E122" s="99"/>
      <c r="F122" s="99"/>
      <c r="G122" s="99"/>
      <c r="H122" s="99"/>
      <c r="I122" s="99"/>
      <c r="J122" s="99"/>
      <c r="K122" s="99"/>
      <c r="L122" s="99"/>
      <c r="M122" s="99"/>
      <c r="N122" s="99"/>
      <c r="O122" s="55"/>
    </row>
    <row r="123" spans="1:15" x14ac:dyDescent="0.3">
      <c r="O123" s="54"/>
    </row>
    <row r="124" spans="1:15" x14ac:dyDescent="0.3">
      <c r="A124" s="187" t="s">
        <v>230</v>
      </c>
      <c r="B124" s="187"/>
      <c r="C124" s="187"/>
      <c r="D124" s="187"/>
      <c r="E124" s="187"/>
      <c r="F124" s="187"/>
      <c r="G124" s="187"/>
      <c r="H124" s="187"/>
      <c r="I124" s="187"/>
      <c r="J124" s="54"/>
    </row>
    <row r="125" spans="1:15" ht="40.5" x14ac:dyDescent="0.3">
      <c r="A125" s="109" t="s">
        <v>50</v>
      </c>
      <c r="B125" s="109" t="s">
        <v>51</v>
      </c>
      <c r="C125" s="149" t="s">
        <v>204</v>
      </c>
      <c r="D125" s="149" t="s">
        <v>59</v>
      </c>
      <c r="E125" s="149" t="s">
        <v>61</v>
      </c>
      <c r="F125" s="149" t="s">
        <v>53</v>
      </c>
      <c r="G125" s="150" t="s">
        <v>60</v>
      </c>
      <c r="H125" s="151" t="s">
        <v>54</v>
      </c>
      <c r="I125" s="150" t="s">
        <v>55</v>
      </c>
      <c r="J125" s="54"/>
    </row>
    <row r="126" spans="1:15" x14ac:dyDescent="0.3">
      <c r="A126" s="42" t="s">
        <v>200</v>
      </c>
      <c r="B126" s="70" t="s">
        <v>3</v>
      </c>
      <c r="C126" s="419">
        <v>650000000</v>
      </c>
      <c r="D126" s="309">
        <v>43438</v>
      </c>
      <c r="E126" s="309">
        <v>43803</v>
      </c>
      <c r="F126" s="143" t="s">
        <v>58</v>
      </c>
      <c r="G126" s="143" t="s">
        <v>109</v>
      </c>
      <c r="H126" s="309">
        <v>41521</v>
      </c>
      <c r="I126" s="143">
        <v>11</v>
      </c>
      <c r="J126" s="54"/>
    </row>
    <row r="127" spans="1:15" x14ac:dyDescent="0.3">
      <c r="A127" s="42" t="s">
        <v>206</v>
      </c>
      <c r="B127" s="70" t="s">
        <v>3</v>
      </c>
      <c r="C127" s="419">
        <v>2000000000</v>
      </c>
      <c r="D127" s="277">
        <v>43640</v>
      </c>
      <c r="E127" s="277">
        <v>44006</v>
      </c>
      <c r="F127" s="101" t="s">
        <v>56</v>
      </c>
      <c r="G127" s="101" t="s">
        <v>108</v>
      </c>
      <c r="H127" s="309">
        <v>41663</v>
      </c>
      <c r="I127" s="143">
        <v>12</v>
      </c>
      <c r="J127" s="54"/>
    </row>
    <row r="128" spans="1:15" x14ac:dyDescent="0.3">
      <c r="A128" s="42" t="s">
        <v>207</v>
      </c>
      <c r="B128" s="70" t="s">
        <v>3</v>
      </c>
      <c r="C128" s="419">
        <v>2000000000</v>
      </c>
      <c r="D128" s="277">
        <v>44315</v>
      </c>
      <c r="E128" s="277">
        <v>44680</v>
      </c>
      <c r="F128" s="101" t="s">
        <v>56</v>
      </c>
      <c r="G128" s="101" t="s">
        <v>108</v>
      </c>
      <c r="H128" s="309">
        <v>41521</v>
      </c>
      <c r="I128" s="143">
        <v>13</v>
      </c>
      <c r="J128" s="54"/>
    </row>
    <row r="129" spans="1:14" x14ac:dyDescent="0.3">
      <c r="A129" s="42" t="s">
        <v>250</v>
      </c>
      <c r="B129" s="70" t="s">
        <v>3</v>
      </c>
      <c r="C129" s="425">
        <v>200000000</v>
      </c>
      <c r="D129" s="277">
        <v>44522</v>
      </c>
      <c r="E129" s="277">
        <v>44887</v>
      </c>
      <c r="F129" s="101" t="s">
        <v>58</v>
      </c>
      <c r="G129" s="101" t="s">
        <v>109</v>
      </c>
      <c r="H129" s="309">
        <v>42696</v>
      </c>
      <c r="I129" s="143">
        <v>14</v>
      </c>
      <c r="J129" s="54"/>
    </row>
    <row r="130" spans="1:14" x14ac:dyDescent="0.3">
      <c r="A130" s="42" t="s">
        <v>251</v>
      </c>
      <c r="B130" s="70" t="s">
        <v>3</v>
      </c>
      <c r="C130" s="425">
        <v>2000000000</v>
      </c>
      <c r="D130" s="277">
        <v>44708</v>
      </c>
      <c r="E130" s="277">
        <v>45073</v>
      </c>
      <c r="F130" s="101" t="s">
        <v>56</v>
      </c>
      <c r="G130" s="101" t="s">
        <v>108</v>
      </c>
      <c r="H130" s="309">
        <v>42913</v>
      </c>
      <c r="I130" s="143">
        <v>15</v>
      </c>
      <c r="J130" s="54"/>
    </row>
    <row r="131" spans="1:14" ht="14" thickBot="1" x14ac:dyDescent="0.35">
      <c r="A131" s="43" t="s">
        <v>268</v>
      </c>
      <c r="B131" s="169" t="s">
        <v>3</v>
      </c>
      <c r="C131" s="427">
        <v>750000000</v>
      </c>
      <c r="D131" s="275">
        <v>44124</v>
      </c>
      <c r="E131" s="275">
        <v>44489</v>
      </c>
      <c r="F131" s="172" t="s">
        <v>56</v>
      </c>
      <c r="G131" s="171" t="s">
        <v>108</v>
      </c>
      <c r="H131" s="278">
        <v>43147</v>
      </c>
      <c r="I131" s="172">
        <v>16</v>
      </c>
      <c r="J131" s="54"/>
    </row>
    <row r="132" spans="1:14" ht="14" thickTop="1" x14ac:dyDescent="0.3">
      <c r="A132" s="26"/>
      <c r="B132" s="67"/>
      <c r="C132" s="367">
        <f>SUM(C126:C131)</f>
        <v>7600000000</v>
      </c>
      <c r="D132" s="429"/>
      <c r="E132" s="429"/>
      <c r="F132" s="105"/>
      <c r="G132" s="105"/>
      <c r="H132" s="429"/>
      <c r="I132" s="105"/>
      <c r="J132" s="54"/>
    </row>
    <row r="133" spans="1:14" s="67" customFormat="1" x14ac:dyDescent="0.3">
      <c r="A133" s="26"/>
      <c r="C133" s="420"/>
      <c r="D133" s="102"/>
      <c r="E133" s="102"/>
      <c r="F133" s="105"/>
      <c r="I133" s="102"/>
    </row>
    <row r="134" spans="1:14" s="67" customFormat="1" x14ac:dyDescent="0.3">
      <c r="A134" s="26"/>
      <c r="C134" s="420"/>
      <c r="D134" s="102"/>
      <c r="E134" s="102"/>
      <c r="F134" s="105"/>
      <c r="H134" s="55"/>
      <c r="I134" s="441"/>
      <c r="J134" s="55"/>
      <c r="K134" s="55"/>
      <c r="L134" s="55"/>
      <c r="M134" s="55"/>
      <c r="N134" s="55"/>
    </row>
    <row r="135" spans="1:14" s="67" customFormat="1" x14ac:dyDescent="0.3">
      <c r="A135" s="187" t="s">
        <v>231</v>
      </c>
      <c r="B135" s="187"/>
      <c r="C135" s="187"/>
      <c r="D135" s="187"/>
      <c r="E135" s="187"/>
      <c r="F135" s="187"/>
      <c r="G135" s="55"/>
      <c r="H135" s="55"/>
      <c r="I135" s="441"/>
      <c r="J135" s="55"/>
      <c r="K135" s="55"/>
      <c r="L135" s="55"/>
      <c r="M135" s="55"/>
      <c r="N135" s="55"/>
    </row>
    <row r="136" spans="1:14" s="67" customFormat="1" x14ac:dyDescent="0.3">
      <c r="A136" s="136" t="s">
        <v>119</v>
      </c>
      <c r="B136" s="19" t="s">
        <v>50</v>
      </c>
      <c r="C136" s="19" t="s">
        <v>120</v>
      </c>
      <c r="D136" s="19" t="s">
        <v>51</v>
      </c>
      <c r="E136" s="63" t="s">
        <v>121</v>
      </c>
      <c r="F136" s="63" t="s">
        <v>166</v>
      </c>
      <c r="G136" s="55"/>
    </row>
    <row r="137" spans="1:14" s="67" customFormat="1" x14ac:dyDescent="0.3">
      <c r="A137" s="8" t="s">
        <v>123</v>
      </c>
      <c r="B137" s="430" t="s">
        <v>124</v>
      </c>
      <c r="C137" s="430" t="s">
        <v>125</v>
      </c>
      <c r="D137" s="430" t="s">
        <v>3</v>
      </c>
      <c r="E137" s="419">
        <v>135628000</v>
      </c>
      <c r="F137" s="196" t="s">
        <v>277</v>
      </c>
      <c r="G137" s="438"/>
      <c r="H137" s="55"/>
      <c r="I137" s="441"/>
      <c r="J137" s="55"/>
      <c r="K137" s="55"/>
      <c r="L137" s="55"/>
      <c r="M137" s="445"/>
      <c r="N137" s="446"/>
    </row>
    <row r="138" spans="1:14" s="67" customFormat="1" x14ac:dyDescent="0.3">
      <c r="A138" s="7" t="s">
        <v>211</v>
      </c>
      <c r="B138" s="372" t="s">
        <v>216</v>
      </c>
      <c r="C138" s="372" t="s">
        <v>128</v>
      </c>
      <c r="D138" s="372" t="s">
        <v>3</v>
      </c>
      <c r="E138" s="417">
        <v>124000000</v>
      </c>
      <c r="F138" s="196" t="s">
        <v>195</v>
      </c>
      <c r="G138" s="438"/>
      <c r="H138" s="438"/>
      <c r="I138" s="441"/>
      <c r="J138" s="55"/>
      <c r="K138" s="55"/>
      <c r="L138" s="445"/>
      <c r="M138" s="445"/>
      <c r="N138" s="446"/>
    </row>
    <row r="139" spans="1:14" s="67" customFormat="1" x14ac:dyDescent="0.3">
      <c r="A139" s="7" t="s">
        <v>190</v>
      </c>
      <c r="B139" s="372" t="s">
        <v>194</v>
      </c>
      <c r="C139" s="372" t="s">
        <v>128</v>
      </c>
      <c r="D139" s="372" t="s">
        <v>3</v>
      </c>
      <c r="E139" s="416">
        <v>45000000</v>
      </c>
      <c r="F139" s="358" t="s">
        <v>129</v>
      </c>
      <c r="G139" s="438"/>
      <c r="H139" s="438"/>
      <c r="I139" s="441"/>
      <c r="J139" s="55"/>
      <c r="K139" s="55"/>
      <c r="L139" s="445"/>
      <c r="M139" s="445"/>
      <c r="N139" s="446"/>
    </row>
    <row r="140" spans="1:14" s="67" customFormat="1" x14ac:dyDescent="0.3">
      <c r="A140" s="7" t="s">
        <v>236</v>
      </c>
      <c r="B140" s="372" t="s">
        <v>253</v>
      </c>
      <c r="C140" s="372" t="s">
        <v>128</v>
      </c>
      <c r="D140" s="372" t="s">
        <v>3</v>
      </c>
      <c r="E140" s="416">
        <v>10000000</v>
      </c>
      <c r="F140" s="358" t="s">
        <v>254</v>
      </c>
      <c r="G140" s="438"/>
      <c r="H140" s="438"/>
      <c r="I140" s="441"/>
      <c r="J140" s="55"/>
      <c r="K140" s="55"/>
      <c r="L140" s="445"/>
      <c r="M140" s="445"/>
      <c r="N140" s="446"/>
    </row>
    <row r="141" spans="1:14" s="67" customFormat="1" x14ac:dyDescent="0.3">
      <c r="A141" s="7" t="s">
        <v>252</v>
      </c>
      <c r="B141" s="372" t="s">
        <v>256</v>
      </c>
      <c r="C141" s="372" t="s">
        <v>128</v>
      </c>
      <c r="D141" s="372" t="s">
        <v>3</v>
      </c>
      <c r="E141" s="416">
        <v>51000000</v>
      </c>
      <c r="F141" s="358" t="s">
        <v>129</v>
      </c>
      <c r="G141" s="438"/>
      <c r="H141" s="438"/>
      <c r="I141" s="441"/>
      <c r="J141" s="55"/>
      <c r="K141" s="55"/>
      <c r="L141" s="445"/>
      <c r="M141" s="445"/>
      <c r="N141" s="446"/>
    </row>
    <row r="142" spans="1:14" s="67" customFormat="1" x14ac:dyDescent="0.3">
      <c r="A142" s="7" t="s">
        <v>255</v>
      </c>
      <c r="B142" s="372" t="s">
        <v>241</v>
      </c>
      <c r="C142" s="372" t="s">
        <v>128</v>
      </c>
      <c r="D142" s="372" t="s">
        <v>3</v>
      </c>
      <c r="E142" s="416">
        <v>45000000</v>
      </c>
      <c r="F142" s="358" t="s">
        <v>129</v>
      </c>
      <c r="G142" s="438"/>
      <c r="H142" s="438"/>
      <c r="I142" s="441"/>
      <c r="J142" s="55"/>
      <c r="K142" s="55"/>
      <c r="L142" s="445"/>
      <c r="M142" s="445"/>
      <c r="N142" s="446"/>
    </row>
    <row r="143" spans="1:14" s="67" customFormat="1" x14ac:dyDescent="0.3">
      <c r="A143" s="7" t="s">
        <v>238</v>
      </c>
      <c r="B143" s="372" t="s">
        <v>269</v>
      </c>
      <c r="C143" s="372" t="s">
        <v>128</v>
      </c>
      <c r="D143" s="372" t="s">
        <v>3</v>
      </c>
      <c r="E143" s="416">
        <v>100000000</v>
      </c>
      <c r="F143" s="358" t="s">
        <v>129</v>
      </c>
      <c r="G143" s="438"/>
      <c r="H143" s="438"/>
      <c r="I143" s="441"/>
      <c r="J143" s="55"/>
      <c r="K143" s="55"/>
      <c r="L143" s="445"/>
      <c r="M143" s="445"/>
      <c r="N143" s="446"/>
    </row>
    <row r="144" spans="1:14" s="67" customFormat="1" x14ac:dyDescent="0.3">
      <c r="A144" s="7" t="s">
        <v>257</v>
      </c>
      <c r="B144" s="372" t="s">
        <v>258</v>
      </c>
      <c r="C144" s="372" t="s">
        <v>128</v>
      </c>
      <c r="D144" s="372" t="s">
        <v>3</v>
      </c>
      <c r="E144" s="416">
        <v>10000000</v>
      </c>
      <c r="F144" s="358" t="s">
        <v>129</v>
      </c>
      <c r="G144" s="438"/>
      <c r="H144" s="438"/>
      <c r="I144" s="441"/>
      <c r="J144" s="55"/>
      <c r="K144" s="55"/>
      <c r="L144" s="445"/>
      <c r="M144" s="445"/>
      <c r="N144" s="446"/>
    </row>
    <row r="145" spans="1:16" s="67" customFormat="1" x14ac:dyDescent="0.3">
      <c r="A145" s="442" t="s">
        <v>264</v>
      </c>
      <c r="B145" s="372" t="s">
        <v>263</v>
      </c>
      <c r="C145" s="372" t="s">
        <v>128</v>
      </c>
      <c r="D145" s="372" t="s">
        <v>3</v>
      </c>
      <c r="E145" s="416">
        <v>25000000</v>
      </c>
      <c r="F145" s="358" t="s">
        <v>129</v>
      </c>
      <c r="G145" s="438"/>
      <c r="H145" s="438"/>
      <c r="I145" s="441"/>
      <c r="J145" s="55"/>
      <c r="K145" s="55"/>
      <c r="L145" s="445"/>
      <c r="M145" s="445"/>
      <c r="N145" s="446"/>
    </row>
    <row r="146" spans="1:16" s="67" customFormat="1" x14ac:dyDescent="0.3">
      <c r="A146" s="7" t="s">
        <v>259</v>
      </c>
      <c r="B146" s="372" t="s">
        <v>260</v>
      </c>
      <c r="C146" s="372" t="s">
        <v>248</v>
      </c>
      <c r="D146" s="372" t="s">
        <v>3</v>
      </c>
      <c r="E146" s="416">
        <v>10000000</v>
      </c>
      <c r="F146" s="358" t="s">
        <v>261</v>
      </c>
      <c r="G146" s="438"/>
      <c r="H146" s="438"/>
      <c r="I146" s="441"/>
      <c r="J146" s="55"/>
      <c r="K146" s="55"/>
      <c r="L146" s="445"/>
      <c r="M146" s="445"/>
      <c r="N146" s="446"/>
    </row>
    <row r="147" spans="1:16" s="67" customFormat="1" ht="14" thickBot="1" x14ac:dyDescent="0.35">
      <c r="A147" s="3" t="s">
        <v>246</v>
      </c>
      <c r="B147" s="443" t="s">
        <v>247</v>
      </c>
      <c r="C147" s="431" t="s">
        <v>248</v>
      </c>
      <c r="D147" s="432" t="s">
        <v>3</v>
      </c>
      <c r="E147" s="444">
        <v>10000000</v>
      </c>
      <c r="F147" s="359" t="s">
        <v>249</v>
      </c>
      <c r="G147" s="438"/>
      <c r="H147" s="438"/>
      <c r="I147" s="441"/>
      <c r="J147" s="55"/>
      <c r="K147" s="55"/>
      <c r="L147" s="445"/>
      <c r="M147" s="445"/>
      <c r="N147" s="446"/>
    </row>
    <row r="148" spans="1:16" ht="14" thickTop="1" x14ac:dyDescent="0.3">
      <c r="A148" s="5" t="s">
        <v>1</v>
      </c>
      <c r="B148" s="434"/>
      <c r="C148" s="434"/>
      <c r="D148" s="434"/>
      <c r="E148" s="423">
        <f>SUM(E137:E147)</f>
        <v>565628000</v>
      </c>
      <c r="F148" s="189"/>
      <c r="G148" s="55"/>
      <c r="H148" s="438"/>
      <c r="I148" s="441"/>
      <c r="J148" s="55"/>
      <c r="K148" s="55"/>
      <c r="L148" s="445"/>
      <c r="M148" s="445"/>
      <c r="N148" s="446"/>
      <c r="O148" s="67"/>
      <c r="P148" s="67"/>
    </row>
    <row r="149" spans="1:16" x14ac:dyDescent="0.3">
      <c r="A149" s="26"/>
      <c r="B149" s="67"/>
      <c r="C149" s="420"/>
      <c r="D149" s="102"/>
      <c r="E149" s="102"/>
      <c r="F149" s="105"/>
      <c r="G149" s="67"/>
      <c r="H149" s="67"/>
      <c r="I149" s="102"/>
      <c r="J149" s="67"/>
      <c r="K149" s="67"/>
      <c r="L149" s="67"/>
      <c r="M149" s="67"/>
      <c r="N149" s="67"/>
    </row>
    <row r="150" spans="1:16" x14ac:dyDescent="0.3">
      <c r="A150" s="67"/>
      <c r="B150" s="67"/>
      <c r="C150" s="67"/>
      <c r="D150" s="67"/>
      <c r="E150" s="67"/>
      <c r="F150" s="67"/>
      <c r="G150" s="67"/>
      <c r="H150" s="67"/>
      <c r="I150" s="67"/>
      <c r="J150" s="67"/>
      <c r="K150" s="67"/>
    </row>
    <row r="151" spans="1:16" x14ac:dyDescent="0.3">
      <c r="A151" s="187" t="s">
        <v>232</v>
      </c>
      <c r="B151" s="187"/>
      <c r="C151" s="187"/>
      <c r="D151" s="187"/>
      <c r="E151" s="187"/>
    </row>
    <row r="171" spans="1:1" x14ac:dyDescent="0.3">
      <c r="A171"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72"/>
  <sheetViews>
    <sheetView topLeftCell="B1" workbookViewId="0">
      <pane ySplit="7" topLeftCell="A8" activePane="bottomLeft" state="frozen"/>
      <selection pane="bottomLeft" activeCell="F138" sqref="F138"/>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43190</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8413924018</v>
      </c>
      <c r="C7" s="263"/>
      <c r="D7" s="364"/>
      <c r="E7" s="450"/>
      <c r="F7" s="266"/>
      <c r="G7" s="55"/>
      <c r="H7" s="55"/>
      <c r="I7" s="67"/>
      <c r="J7" s="67"/>
      <c r="K7" s="67"/>
      <c r="L7" s="67"/>
      <c r="M7" s="67"/>
    </row>
    <row r="8" spans="1:13" x14ac:dyDescent="0.3">
      <c r="A8" s="265" t="s">
        <v>78</v>
      </c>
      <c r="B8" s="365">
        <v>1235706</v>
      </c>
      <c r="C8" s="263"/>
      <c r="D8" s="366"/>
      <c r="E8" s="267"/>
      <c r="F8" s="266"/>
      <c r="G8" s="55"/>
      <c r="H8" s="55"/>
      <c r="I8" s="67"/>
      <c r="J8" s="67"/>
      <c r="K8" s="67"/>
      <c r="L8" s="67"/>
      <c r="M8" s="67"/>
    </row>
    <row r="9" spans="1:13" x14ac:dyDescent="0.3">
      <c r="A9" s="265" t="s">
        <v>73</v>
      </c>
      <c r="B9" s="365">
        <v>6809</v>
      </c>
      <c r="C9" s="263"/>
      <c r="D9" s="364"/>
      <c r="E9" s="267"/>
      <c r="F9" s="266"/>
      <c r="G9" s="55"/>
      <c r="H9" s="55"/>
      <c r="I9" s="67"/>
      <c r="J9" s="67"/>
      <c r="K9" s="67"/>
      <c r="L9" s="67"/>
      <c r="M9" s="67"/>
    </row>
    <row r="10" spans="1:13" ht="13.5" customHeight="1" x14ac:dyDescent="0.3">
      <c r="A10" s="265" t="s">
        <v>79</v>
      </c>
      <c r="B10" s="338">
        <v>9.2999999999999992E-3</v>
      </c>
      <c r="C10" s="263"/>
      <c r="D10" s="268"/>
      <c r="E10" s="267"/>
      <c r="F10" s="266"/>
      <c r="G10" s="55"/>
      <c r="H10" s="55"/>
      <c r="I10" s="67"/>
      <c r="J10" s="67"/>
      <c r="K10" s="67"/>
      <c r="L10" s="67"/>
      <c r="M10" s="67"/>
    </row>
    <row r="11" spans="1:13" x14ac:dyDescent="0.3">
      <c r="A11" s="265" t="s">
        <v>74</v>
      </c>
      <c r="B11" s="365">
        <v>44</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6502</v>
      </c>
      <c r="C13" s="348"/>
      <c r="D13" s="349"/>
      <c r="E13" s="350"/>
      <c r="F13" s="351"/>
      <c r="G13" s="352"/>
      <c r="H13" s="55"/>
      <c r="I13" s="362"/>
      <c r="J13" s="362"/>
      <c r="K13" s="67"/>
      <c r="L13" s="67"/>
      <c r="M13" s="67"/>
    </row>
    <row r="14" spans="1:13" x14ac:dyDescent="0.3">
      <c r="A14" s="265" t="s">
        <v>196</v>
      </c>
      <c r="B14" s="338">
        <v>0.5363</v>
      </c>
      <c r="C14" s="348"/>
      <c r="D14" s="349"/>
      <c r="E14" s="350"/>
      <c r="F14" s="351"/>
      <c r="G14" s="352"/>
      <c r="H14" s="55"/>
      <c r="I14" s="362"/>
      <c r="J14" s="362"/>
      <c r="K14" s="67"/>
      <c r="L14" s="67"/>
      <c r="M14" s="67"/>
    </row>
    <row r="15" spans="1:13" x14ac:dyDescent="0.3">
      <c r="A15" s="265" t="s">
        <v>83</v>
      </c>
      <c r="B15" s="269">
        <v>1</v>
      </c>
      <c r="C15" s="348"/>
      <c r="D15" s="349"/>
      <c r="E15" s="350"/>
      <c r="F15" s="351"/>
      <c r="G15" s="352"/>
      <c r="H15" s="55"/>
      <c r="I15" s="362"/>
      <c r="J15" s="362"/>
      <c r="K15" s="67"/>
      <c r="L15" s="67"/>
      <c r="M15" s="67"/>
    </row>
    <row r="16" spans="1:13" x14ac:dyDescent="0.3">
      <c r="A16" s="265" t="s">
        <v>86</v>
      </c>
      <c r="B16" s="269">
        <v>1</v>
      </c>
      <c r="C16" s="348"/>
      <c r="D16" s="349"/>
      <c r="E16" s="350"/>
      <c r="F16" s="351"/>
      <c r="G16" s="352"/>
      <c r="H16" s="55"/>
      <c r="I16" s="362"/>
      <c r="J16" s="362"/>
      <c r="K16" s="67"/>
      <c r="L16" s="67"/>
      <c r="M16" s="67"/>
    </row>
    <row r="17" spans="1:13" x14ac:dyDescent="0.3">
      <c r="A17" s="265" t="s">
        <v>84</v>
      </c>
      <c r="B17" s="265">
        <v>5.9999999999999995E-4</v>
      </c>
      <c r="C17" s="348"/>
      <c r="D17" s="349"/>
      <c r="E17" s="350"/>
      <c r="F17" s="351"/>
      <c r="G17" s="352"/>
      <c r="H17" s="55"/>
      <c r="I17" s="362"/>
      <c r="J17" s="362"/>
      <c r="K17" s="67"/>
      <c r="L17" s="67"/>
      <c r="M17" s="67"/>
    </row>
    <row r="18" spans="1:13" x14ac:dyDescent="0.3">
      <c r="A18" s="265" t="s">
        <v>49</v>
      </c>
      <c r="B18" s="367">
        <f>289607000+374005000</f>
        <v>663612000</v>
      </c>
      <c r="C18" s="348"/>
      <c r="D18" s="348"/>
      <c r="E18" s="352"/>
      <c r="F18" s="353"/>
      <c r="G18" s="451"/>
      <c r="H18" s="368"/>
      <c r="I18" s="368"/>
      <c r="J18" s="189"/>
      <c r="K18" s="67"/>
      <c r="L18" s="67"/>
      <c r="M18" s="67"/>
    </row>
    <row r="19" spans="1:13" x14ac:dyDescent="0.3">
      <c r="A19" s="262" t="s">
        <v>80</v>
      </c>
      <c r="B19" s="369">
        <f>+B7+B18</f>
        <v>9077536018</v>
      </c>
      <c r="C19" s="348"/>
      <c r="D19" s="348" t="s">
        <v>234</v>
      </c>
      <c r="E19" s="435" t="s">
        <v>235</v>
      </c>
      <c r="F19" s="353"/>
      <c r="G19" s="452"/>
      <c r="H19" s="368"/>
      <c r="I19" s="368"/>
      <c r="J19" s="189"/>
      <c r="K19" s="67"/>
      <c r="L19" s="67"/>
      <c r="M19" s="67"/>
    </row>
    <row r="20" spans="1:13" x14ac:dyDescent="0.3">
      <c r="A20" s="341" t="s">
        <v>197</v>
      </c>
      <c r="B20" s="342">
        <f>($B$19-D20)/E20-1</f>
        <v>0.17275535857699986</v>
      </c>
      <c r="C20" s="348"/>
      <c r="D20" s="436">
        <v>40052192</v>
      </c>
      <c r="E20" s="435">
        <v>7706197000</v>
      </c>
      <c r="F20" s="453"/>
      <c r="G20" s="452"/>
      <c r="H20" s="368"/>
      <c r="I20" s="368"/>
      <c r="J20" s="189"/>
      <c r="K20" s="67"/>
      <c r="L20" s="67"/>
      <c r="M20" s="67"/>
    </row>
    <row r="21" spans="1:13" x14ac:dyDescent="0.3">
      <c r="A21" s="341" t="s">
        <v>198</v>
      </c>
      <c r="B21" s="342">
        <f>($B$19-D21)/E20-1</f>
        <v>0.12100248086053345</v>
      </c>
      <c r="C21" s="348"/>
      <c r="D21" s="435">
        <v>438870063</v>
      </c>
      <c r="E21" s="435"/>
      <c r="F21" s="353"/>
      <c r="G21" s="452"/>
      <c r="H21" s="368"/>
      <c r="I21" s="368"/>
      <c r="J21" s="189"/>
      <c r="K21" s="67"/>
      <c r="L21" s="67"/>
      <c r="M21" s="67"/>
    </row>
    <row r="22" spans="1:13" x14ac:dyDescent="0.3">
      <c r="A22" s="341" t="s">
        <v>233</v>
      </c>
      <c r="B22" s="342">
        <f>($B$19-D22)/E20-1</f>
        <v>5.3631601424152464E-2</v>
      </c>
      <c r="C22" s="348"/>
      <c r="D22" s="435">
        <v>958043332</v>
      </c>
      <c r="E22" s="435"/>
      <c r="F22" s="353"/>
      <c r="G22" s="452"/>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1954811616.3900006</v>
      </c>
      <c r="C28" s="373">
        <v>2893</v>
      </c>
      <c r="D28" s="196">
        <f t="shared" ref="D28:D39" si="0">B28/$B$40</f>
        <v>0.23233055257292995</v>
      </c>
      <c r="E28" s="355"/>
      <c r="F28" s="186"/>
      <c r="G28" s="186"/>
      <c r="H28" s="368"/>
      <c r="I28" s="374"/>
      <c r="J28" s="189"/>
      <c r="K28" s="67"/>
      <c r="L28" s="67"/>
      <c r="M28" s="67"/>
    </row>
    <row r="29" spans="1:13" ht="14.5" x14ac:dyDescent="0.35">
      <c r="A29" s="6" t="s">
        <v>7</v>
      </c>
      <c r="B29" s="372">
        <v>1276104023.4000006</v>
      </c>
      <c r="C29" s="373">
        <v>910</v>
      </c>
      <c r="D29" s="196">
        <f t="shared" si="0"/>
        <v>0.15166574129765736</v>
      </c>
      <c r="E29" s="355"/>
      <c r="F29" s="257"/>
      <c r="G29" s="257"/>
      <c r="H29" s="257"/>
      <c r="I29" s="257"/>
      <c r="J29" s="189"/>
      <c r="K29" s="67"/>
      <c r="L29" s="67"/>
      <c r="M29" s="67"/>
    </row>
    <row r="30" spans="1:13" ht="14.5" x14ac:dyDescent="0.35">
      <c r="A30" s="6" t="s">
        <v>8</v>
      </c>
      <c r="B30" s="372">
        <v>1716496367.1699998</v>
      </c>
      <c r="C30" s="373">
        <v>1106</v>
      </c>
      <c r="D30" s="196">
        <f t="shared" si="0"/>
        <v>0.20400663988814266</v>
      </c>
      <c r="E30" s="355"/>
      <c r="F30" s="259"/>
      <c r="G30" s="259"/>
      <c r="H30" s="259"/>
      <c r="I30" s="259"/>
      <c r="J30" s="189"/>
      <c r="K30" s="67"/>
      <c r="L30" s="67"/>
      <c r="M30" s="67"/>
    </row>
    <row r="31" spans="1:13" ht="14.5" x14ac:dyDescent="0.35">
      <c r="A31" s="6" t="s">
        <v>9</v>
      </c>
      <c r="B31" s="372">
        <v>2077157530.3199999</v>
      </c>
      <c r="C31" s="373">
        <v>1226</v>
      </c>
      <c r="D31" s="196">
        <f t="shared" si="0"/>
        <v>0.2468714390450952</v>
      </c>
      <c r="E31" s="355"/>
      <c r="F31" s="316"/>
      <c r="G31" s="317"/>
      <c r="H31" s="317"/>
      <c r="I31" s="176"/>
      <c r="J31" s="189"/>
      <c r="K31" s="67"/>
      <c r="L31" s="67"/>
      <c r="M31" s="67"/>
    </row>
    <row r="32" spans="1:13" ht="14.5" x14ac:dyDescent="0.35">
      <c r="A32" s="6" t="s">
        <v>140</v>
      </c>
      <c r="B32" s="372">
        <v>1121240100.6200001</v>
      </c>
      <c r="C32" s="373">
        <v>537</v>
      </c>
      <c r="D32" s="196">
        <f t="shared" si="0"/>
        <v>0.13326006964550424</v>
      </c>
      <c r="E32" s="355"/>
      <c r="F32" s="304"/>
      <c r="G32" s="368"/>
      <c r="H32" s="368"/>
      <c r="I32" s="263"/>
      <c r="J32" s="189"/>
      <c r="K32" s="67"/>
      <c r="L32" s="67"/>
      <c r="M32" s="67"/>
    </row>
    <row r="33" spans="1:15" ht="14.5" x14ac:dyDescent="0.35">
      <c r="A33" s="6" t="s">
        <v>141</v>
      </c>
      <c r="B33" s="372">
        <v>86779124.51000002</v>
      </c>
      <c r="C33" s="373">
        <v>50</v>
      </c>
      <c r="D33" s="196">
        <f t="shared" si="0"/>
        <v>1.0313751862410165E-2</v>
      </c>
      <c r="E33" s="454"/>
      <c r="F33" s="304"/>
      <c r="G33" s="368"/>
      <c r="H33" s="368"/>
      <c r="I33" s="263"/>
      <c r="J33" s="345"/>
      <c r="K33" s="67"/>
      <c r="L33" s="67"/>
      <c r="M33" s="67"/>
    </row>
    <row r="34" spans="1:15" ht="14.5" x14ac:dyDescent="0.35">
      <c r="A34" s="6" t="s">
        <v>10</v>
      </c>
      <c r="B34" s="372">
        <v>26562450.57</v>
      </c>
      <c r="C34" s="373">
        <v>19</v>
      </c>
      <c r="D34" s="196">
        <f t="shared" si="0"/>
        <v>3.1569634469514121E-3</v>
      </c>
      <c r="E34" s="454"/>
      <c r="F34" s="304"/>
      <c r="G34" s="368"/>
      <c r="H34" s="368"/>
      <c r="I34" s="263"/>
      <c r="J34" s="362"/>
      <c r="K34" s="67"/>
      <c r="L34" s="67"/>
      <c r="M34" s="67"/>
    </row>
    <row r="35" spans="1:15" ht="14.5" x14ac:dyDescent="0.35">
      <c r="A35" s="6" t="s">
        <v>11</v>
      </c>
      <c r="B35" s="375">
        <v>9088136</v>
      </c>
      <c r="C35" s="376">
        <v>8</v>
      </c>
      <c r="D35" s="196">
        <f t="shared" si="0"/>
        <v>1.0801305051773775E-3</v>
      </c>
      <c r="E35" s="454"/>
      <c r="F35" s="304"/>
      <c r="G35" s="368"/>
      <c r="H35" s="368"/>
      <c r="I35" s="263"/>
      <c r="J35" s="67"/>
      <c r="K35" s="67"/>
      <c r="L35" s="67"/>
      <c r="M35" s="67"/>
    </row>
    <row r="36" spans="1:15" ht="14.5" x14ac:dyDescent="0.35">
      <c r="A36" s="6" t="s">
        <v>12</v>
      </c>
      <c r="B36" s="377">
        <v>8924094.5500000007</v>
      </c>
      <c r="C36" s="378">
        <v>5</v>
      </c>
      <c r="D36" s="196">
        <f t="shared" si="0"/>
        <v>1.0606340788190431E-3</v>
      </c>
      <c r="E36" s="454"/>
      <c r="F36" s="304"/>
      <c r="G36" s="368"/>
      <c r="H36" s="368"/>
      <c r="I36" s="263"/>
      <c r="J36" s="67"/>
      <c r="K36" s="67"/>
      <c r="L36" s="67"/>
      <c r="M36" s="67"/>
    </row>
    <row r="37" spans="1:15" ht="14.5" x14ac:dyDescent="0.35">
      <c r="A37" s="6" t="s">
        <v>13</v>
      </c>
      <c r="B37" s="377">
        <v>19588536.189999998</v>
      </c>
      <c r="C37" s="378">
        <v>5</v>
      </c>
      <c r="D37" s="196">
        <f t="shared" si="0"/>
        <v>2.3281094704777788E-3</v>
      </c>
      <c r="E37" s="454"/>
      <c r="F37" s="304"/>
      <c r="G37" s="368"/>
      <c r="H37" s="368"/>
      <c r="I37" s="263"/>
      <c r="J37" s="67"/>
      <c r="K37" s="67"/>
      <c r="L37" s="67"/>
      <c r="M37" s="67"/>
    </row>
    <row r="38" spans="1:15" ht="14.5" x14ac:dyDescent="0.35">
      <c r="A38" s="6" t="s">
        <v>14</v>
      </c>
      <c r="B38" s="377">
        <v>11304661.279999999</v>
      </c>
      <c r="C38" s="378">
        <v>2</v>
      </c>
      <c r="D38" s="196">
        <f t="shared" si="0"/>
        <v>1.3435658862527519E-3</v>
      </c>
      <c r="E38" s="454"/>
      <c r="F38" s="304"/>
      <c r="G38" s="368"/>
      <c r="H38" s="368"/>
      <c r="I38" s="263"/>
      <c r="J38" s="67"/>
      <c r="K38" s="67"/>
      <c r="L38" s="67"/>
      <c r="M38" s="67"/>
      <c r="O38" s="54"/>
    </row>
    <row r="39" spans="1:15" ht="15" thickBot="1" x14ac:dyDescent="0.4">
      <c r="A39" s="4" t="s">
        <v>15</v>
      </c>
      <c r="B39" s="379">
        <v>105867376.91999999</v>
      </c>
      <c r="C39" s="380">
        <v>48</v>
      </c>
      <c r="D39" s="192">
        <f t="shared" si="0"/>
        <v>1.2582402300582147E-2</v>
      </c>
      <c r="E39" s="454"/>
      <c r="F39" s="304"/>
      <c r="G39" s="374"/>
      <c r="H39" s="374"/>
      <c r="I39" s="263"/>
      <c r="J39" s="67"/>
      <c r="K39" s="67"/>
      <c r="L39" s="67"/>
      <c r="M39" s="67"/>
      <c r="O39" s="54"/>
    </row>
    <row r="40" spans="1:15" ht="15" thickTop="1" x14ac:dyDescent="0.35">
      <c r="A40" s="1" t="s">
        <v>1</v>
      </c>
      <c r="B40" s="18">
        <v>8413924017.9200001</v>
      </c>
      <c r="C40" s="381">
        <v>6809</v>
      </c>
      <c r="D40" s="344">
        <f>SUM(D28:D39)</f>
        <v>1</v>
      </c>
      <c r="E40" s="454"/>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236783876.78000003</v>
      </c>
      <c r="C46" s="373">
        <v>2072</v>
      </c>
      <c r="D46" s="196">
        <f>B46/$B$40</f>
        <v>2.8141908136524296E-2</v>
      </c>
      <c r="E46" s="384"/>
      <c r="O46" s="54"/>
    </row>
    <row r="47" spans="1:15" x14ac:dyDescent="0.3">
      <c r="A47" s="6" t="s">
        <v>221</v>
      </c>
      <c r="B47" s="372">
        <v>823939943.70000017</v>
      </c>
      <c r="C47" s="373">
        <v>1082</v>
      </c>
      <c r="D47" s="196">
        <f t="shared" ref="D47:D49" si="1">B47/$B$40</f>
        <v>9.7925764713963484E-2</v>
      </c>
      <c r="E47" s="384"/>
      <c r="O47" s="54"/>
    </row>
    <row r="48" spans="1:15" x14ac:dyDescent="0.3">
      <c r="A48" s="6" t="s">
        <v>222</v>
      </c>
      <c r="B48" s="372">
        <v>3243380618.8899994</v>
      </c>
      <c r="C48" s="373">
        <v>2178</v>
      </c>
      <c r="D48" s="196">
        <f t="shared" si="1"/>
        <v>0.38547776423726171</v>
      </c>
      <c r="E48" s="384"/>
      <c r="O48" s="54"/>
    </row>
    <row r="49" spans="1:15" x14ac:dyDescent="0.3">
      <c r="A49" s="6" t="s">
        <v>223</v>
      </c>
      <c r="B49" s="372">
        <v>2586135158.440002</v>
      </c>
      <c r="C49" s="373">
        <v>1074</v>
      </c>
      <c r="D49" s="196">
        <f t="shared" si="1"/>
        <v>0.30736374050110787</v>
      </c>
      <c r="E49" s="384"/>
      <c r="O49" s="54"/>
    </row>
    <row r="50" spans="1:15" ht="14" thickBot="1" x14ac:dyDescent="0.35">
      <c r="A50" s="4" t="s">
        <v>224</v>
      </c>
      <c r="B50" s="379">
        <v>1523684420.1099994</v>
      </c>
      <c r="C50" s="380">
        <v>403</v>
      </c>
      <c r="D50" s="192">
        <f>B50/$B$40</f>
        <v>0.18109082241114274</v>
      </c>
      <c r="E50" s="384"/>
      <c r="O50" s="54"/>
    </row>
    <row r="51" spans="1:15" ht="14" thickTop="1" x14ac:dyDescent="0.3">
      <c r="A51" s="1" t="s">
        <v>1</v>
      </c>
      <c r="B51" s="18">
        <f>SUM(B46:B50)</f>
        <v>8413924017.920001</v>
      </c>
      <c r="C51" s="381">
        <f>SUM(C46:C50)</f>
        <v>6809</v>
      </c>
      <c r="D51" s="344">
        <f>SUM(D46:D50)</f>
        <v>1</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281273984.27999997</v>
      </c>
      <c r="C56" s="387">
        <v>103254313.07000002</v>
      </c>
      <c r="D56" s="387">
        <v>61438410.850000001</v>
      </c>
      <c r="E56" s="387">
        <v>75201151.079999998</v>
      </c>
      <c r="F56" s="387">
        <v>26134514.280000001</v>
      </c>
      <c r="G56" s="387">
        <v>15245595</v>
      </c>
      <c r="H56" s="387">
        <v>0</v>
      </c>
      <c r="I56" s="387">
        <v>0</v>
      </c>
      <c r="J56" s="387">
        <v>0</v>
      </c>
      <c r="K56" s="387">
        <v>0</v>
      </c>
      <c r="L56" s="387">
        <v>0</v>
      </c>
      <c r="M56" s="387">
        <v>0</v>
      </c>
      <c r="N56" s="447">
        <v>0</v>
      </c>
      <c r="O56" s="54"/>
    </row>
    <row r="57" spans="1:15" ht="14.5" x14ac:dyDescent="0.35">
      <c r="A57" s="154" t="s">
        <v>29</v>
      </c>
      <c r="B57" s="387">
        <f t="shared" ref="B57:B74" si="2">SUM(C57:N57)</f>
        <v>545209141.82999992</v>
      </c>
      <c r="C57" s="387">
        <v>98124595.200000018</v>
      </c>
      <c r="D57" s="387">
        <v>105633226.34</v>
      </c>
      <c r="E57" s="387">
        <v>120598531.22999999</v>
      </c>
      <c r="F57" s="387">
        <v>148547143.13</v>
      </c>
      <c r="G57" s="387">
        <v>49335475</v>
      </c>
      <c r="H57" s="387">
        <v>12370143</v>
      </c>
      <c r="I57" s="387">
        <v>2108569</v>
      </c>
      <c r="J57" s="387">
        <v>0</v>
      </c>
      <c r="K57" s="387">
        <v>2061300.93</v>
      </c>
      <c r="L57" s="387">
        <v>0</v>
      </c>
      <c r="M57" s="387">
        <v>0</v>
      </c>
      <c r="N57" s="448">
        <v>6430158</v>
      </c>
      <c r="O57" s="54"/>
    </row>
    <row r="58" spans="1:15" ht="14.5" x14ac:dyDescent="0.35">
      <c r="A58" s="154" t="s">
        <v>30</v>
      </c>
      <c r="B58" s="387">
        <f t="shared" si="2"/>
        <v>58133068.809999995</v>
      </c>
      <c r="C58" s="387">
        <v>19908660.57</v>
      </c>
      <c r="D58" s="387">
        <v>16937888.23</v>
      </c>
      <c r="E58" s="387">
        <v>8351259.0099999998</v>
      </c>
      <c r="F58" s="387">
        <v>5293454</v>
      </c>
      <c r="G58" s="387">
        <v>4607137</v>
      </c>
      <c r="H58" s="387">
        <v>3034670</v>
      </c>
      <c r="I58" s="387">
        <v>0</v>
      </c>
      <c r="J58" s="387">
        <v>0</v>
      </c>
      <c r="K58" s="387">
        <v>0</v>
      </c>
      <c r="L58" s="387">
        <v>0</v>
      </c>
      <c r="M58" s="387">
        <v>0</v>
      </c>
      <c r="N58" s="448">
        <v>0</v>
      </c>
      <c r="O58" s="54"/>
    </row>
    <row r="59" spans="1:15" ht="14.5" x14ac:dyDescent="0.35">
      <c r="A59" s="154" t="s">
        <v>142</v>
      </c>
      <c r="B59" s="387">
        <f t="shared" si="2"/>
        <v>6562580.7400000002</v>
      </c>
      <c r="C59" s="387">
        <v>301494</v>
      </c>
      <c r="D59" s="387">
        <v>0</v>
      </c>
      <c r="E59" s="387">
        <v>0</v>
      </c>
      <c r="F59" s="387">
        <v>0</v>
      </c>
      <c r="G59" s="387">
        <v>6261086.7400000002</v>
      </c>
      <c r="H59" s="387">
        <v>0</v>
      </c>
      <c r="I59" s="387">
        <v>0</v>
      </c>
      <c r="J59" s="387">
        <v>0</v>
      </c>
      <c r="K59" s="387">
        <v>0</v>
      </c>
      <c r="L59" s="387">
        <v>0</v>
      </c>
      <c r="M59" s="387">
        <v>0</v>
      </c>
      <c r="N59" s="448">
        <v>0</v>
      </c>
      <c r="O59" s="54"/>
    </row>
    <row r="60" spans="1:15" ht="14.5" x14ac:dyDescent="0.35">
      <c r="A60" s="154" t="s">
        <v>31</v>
      </c>
      <c r="B60" s="387">
        <f t="shared" si="2"/>
        <v>23747353.189999998</v>
      </c>
      <c r="C60" s="387">
        <v>3136769</v>
      </c>
      <c r="D60" s="387">
        <v>2172569.19</v>
      </c>
      <c r="E60" s="387">
        <v>6219477</v>
      </c>
      <c r="F60" s="387">
        <v>8474788</v>
      </c>
      <c r="G60" s="387">
        <v>3743750</v>
      </c>
      <c r="H60" s="387">
        <v>0</v>
      </c>
      <c r="I60" s="387">
        <v>0</v>
      </c>
      <c r="J60" s="387">
        <v>0</v>
      </c>
      <c r="K60" s="387">
        <v>0</v>
      </c>
      <c r="L60" s="387">
        <v>0</v>
      </c>
      <c r="M60" s="387">
        <v>0</v>
      </c>
      <c r="N60" s="448">
        <v>0</v>
      </c>
      <c r="O60" s="54"/>
    </row>
    <row r="61" spans="1:15" ht="14.5" x14ac:dyDescent="0.35">
      <c r="A61" s="154" t="s">
        <v>32</v>
      </c>
      <c r="B61" s="387">
        <f t="shared" si="2"/>
        <v>806577250.81999993</v>
      </c>
      <c r="C61" s="387">
        <v>192765082.97999999</v>
      </c>
      <c r="D61" s="387">
        <v>92709530.560000002</v>
      </c>
      <c r="E61" s="387">
        <v>160399135.49999997</v>
      </c>
      <c r="F61" s="387">
        <v>197627618.75999999</v>
      </c>
      <c r="G61" s="387">
        <v>104701857.16</v>
      </c>
      <c r="H61" s="387">
        <v>9761899</v>
      </c>
      <c r="I61" s="387">
        <v>12933959.609999999</v>
      </c>
      <c r="J61" s="387">
        <v>3143307</v>
      </c>
      <c r="K61" s="387">
        <v>4814689.62</v>
      </c>
      <c r="L61" s="387">
        <v>2191699</v>
      </c>
      <c r="M61" s="387">
        <v>0</v>
      </c>
      <c r="N61" s="448">
        <v>25528471.630000003</v>
      </c>
      <c r="O61" s="54"/>
    </row>
    <row r="62" spans="1:15" ht="14.5" x14ac:dyDescent="0.35">
      <c r="A62" s="154" t="s">
        <v>143</v>
      </c>
      <c r="B62" s="387">
        <f t="shared" si="2"/>
        <v>11836269.17</v>
      </c>
      <c r="C62" s="387">
        <v>1461739</v>
      </c>
      <c r="D62" s="387">
        <v>1435595</v>
      </c>
      <c r="E62" s="387">
        <v>800230</v>
      </c>
      <c r="F62" s="387">
        <v>8138705.1699999999</v>
      </c>
      <c r="G62" s="387">
        <v>0</v>
      </c>
      <c r="H62" s="387">
        <v>0</v>
      </c>
      <c r="I62" s="387">
        <v>0</v>
      </c>
      <c r="J62" s="387">
        <v>0</v>
      </c>
      <c r="K62" s="387">
        <v>0</v>
      </c>
      <c r="L62" s="387">
        <v>0</v>
      </c>
      <c r="M62" s="387">
        <v>0</v>
      </c>
      <c r="N62" s="448">
        <v>0</v>
      </c>
      <c r="O62" s="54"/>
    </row>
    <row r="63" spans="1:15" ht="14.5" x14ac:dyDescent="0.35">
      <c r="A63" s="154" t="s">
        <v>33</v>
      </c>
      <c r="B63" s="387">
        <f t="shared" si="2"/>
        <v>6654277.6299999999</v>
      </c>
      <c r="C63" s="387">
        <v>459317.63</v>
      </c>
      <c r="D63" s="387">
        <v>0</v>
      </c>
      <c r="E63" s="387">
        <v>1579324</v>
      </c>
      <c r="F63" s="387">
        <v>4615636</v>
      </c>
      <c r="G63" s="387">
        <v>0</v>
      </c>
      <c r="H63" s="387">
        <v>0</v>
      </c>
      <c r="I63" s="387">
        <v>0</v>
      </c>
      <c r="J63" s="387">
        <v>0</v>
      </c>
      <c r="K63" s="387">
        <v>0</v>
      </c>
      <c r="L63" s="387">
        <v>0</v>
      </c>
      <c r="M63" s="387">
        <v>0</v>
      </c>
      <c r="N63" s="448">
        <v>0</v>
      </c>
      <c r="O63" s="54"/>
    </row>
    <row r="64" spans="1:15" ht="14.5" x14ac:dyDescent="0.35">
      <c r="A64" s="154" t="s">
        <v>34</v>
      </c>
      <c r="B64" s="387">
        <f t="shared" si="2"/>
        <v>17632604.859999999</v>
      </c>
      <c r="C64" s="387">
        <v>6255798.8599999994</v>
      </c>
      <c r="D64" s="387">
        <v>0</v>
      </c>
      <c r="E64" s="387">
        <v>0</v>
      </c>
      <c r="F64" s="387">
        <v>7469807</v>
      </c>
      <c r="G64" s="387">
        <v>3906999</v>
      </c>
      <c r="H64" s="387">
        <v>0</v>
      </c>
      <c r="I64" s="387">
        <v>0</v>
      </c>
      <c r="J64" s="387">
        <v>0</v>
      </c>
      <c r="K64" s="387">
        <v>0</v>
      </c>
      <c r="L64" s="387">
        <v>0</v>
      </c>
      <c r="M64" s="387">
        <v>0</v>
      </c>
      <c r="N64" s="448">
        <v>0</v>
      </c>
      <c r="O64" s="54"/>
    </row>
    <row r="65" spans="1:15" ht="14.5" x14ac:dyDescent="0.35">
      <c r="A65" s="154" t="s">
        <v>35</v>
      </c>
      <c r="B65" s="387">
        <f t="shared" si="2"/>
        <v>354820741.49000001</v>
      </c>
      <c r="C65" s="387">
        <v>132829268.65999998</v>
      </c>
      <c r="D65" s="387">
        <v>68573127.729999989</v>
      </c>
      <c r="E65" s="387">
        <v>68263716.25</v>
      </c>
      <c r="F65" s="387">
        <v>54882886</v>
      </c>
      <c r="G65" s="387">
        <v>18704205</v>
      </c>
      <c r="H65" s="387">
        <v>5000000</v>
      </c>
      <c r="I65" s="387">
        <v>0</v>
      </c>
      <c r="J65" s="387">
        <v>0</v>
      </c>
      <c r="K65" s="387">
        <v>0</v>
      </c>
      <c r="L65" s="387">
        <v>6567537.8499999996</v>
      </c>
      <c r="M65" s="387">
        <v>0</v>
      </c>
      <c r="N65" s="448">
        <v>0</v>
      </c>
      <c r="O65" s="54"/>
    </row>
    <row r="66" spans="1:15" ht="14.5" x14ac:dyDescent="0.35">
      <c r="A66" s="154" t="s">
        <v>36</v>
      </c>
      <c r="B66" s="387">
        <f t="shared" si="2"/>
        <v>3485556938.2700009</v>
      </c>
      <c r="C66" s="387">
        <v>745912731.30000091</v>
      </c>
      <c r="D66" s="387">
        <v>482308055.47999996</v>
      </c>
      <c r="E66" s="387">
        <v>690523888.51999998</v>
      </c>
      <c r="F66" s="387">
        <v>876023957.74999988</v>
      </c>
      <c r="G66" s="387">
        <v>592432940.26999998</v>
      </c>
      <c r="H66" s="387">
        <v>31338506.359999999</v>
      </c>
      <c r="I66" s="387">
        <v>2776330.96</v>
      </c>
      <c r="J66" s="387">
        <v>5944829</v>
      </c>
      <c r="K66" s="387">
        <v>0</v>
      </c>
      <c r="L66" s="387">
        <v>10829299.34</v>
      </c>
      <c r="M66" s="387">
        <v>0</v>
      </c>
      <c r="N66" s="448">
        <v>47466399.289999999</v>
      </c>
      <c r="O66" s="54"/>
    </row>
    <row r="67" spans="1:15" ht="14.5" x14ac:dyDescent="0.35">
      <c r="A67" s="154" t="s">
        <v>37</v>
      </c>
      <c r="B67" s="387">
        <f t="shared" si="2"/>
        <v>311927606.10000002</v>
      </c>
      <c r="C67" s="387">
        <v>69007080.150000006</v>
      </c>
      <c r="D67" s="387">
        <v>66276497.250000007</v>
      </c>
      <c r="E67" s="387">
        <v>49966312.539999992</v>
      </c>
      <c r="F67" s="387">
        <v>83738062.159999996</v>
      </c>
      <c r="G67" s="387">
        <v>40036812</v>
      </c>
      <c r="H67" s="387">
        <v>1563897</v>
      </c>
      <c r="I67" s="387">
        <v>0</v>
      </c>
      <c r="J67" s="387">
        <v>0</v>
      </c>
      <c r="K67" s="387">
        <v>0</v>
      </c>
      <c r="L67" s="387">
        <v>0</v>
      </c>
      <c r="M67" s="387">
        <v>0</v>
      </c>
      <c r="N67" s="448">
        <v>1338945</v>
      </c>
      <c r="O67" s="54"/>
    </row>
    <row r="68" spans="1:15" ht="14.5" x14ac:dyDescent="0.35">
      <c r="A68" s="154" t="s">
        <v>38</v>
      </c>
      <c r="B68" s="387">
        <f t="shared" si="2"/>
        <v>14931106.689999999</v>
      </c>
      <c r="C68" s="387">
        <v>3822615.32</v>
      </c>
      <c r="D68" s="387">
        <v>0</v>
      </c>
      <c r="E68" s="387">
        <v>3878011.4699999997</v>
      </c>
      <c r="F68" s="387">
        <v>1307291</v>
      </c>
      <c r="G68" s="387">
        <v>0</v>
      </c>
      <c r="H68" s="387">
        <v>1198188.8999999999</v>
      </c>
      <c r="I68" s="387">
        <v>0</v>
      </c>
      <c r="J68" s="387">
        <v>0</v>
      </c>
      <c r="K68" s="387">
        <v>0</v>
      </c>
      <c r="L68" s="387">
        <v>0</v>
      </c>
      <c r="M68" s="387">
        <v>0</v>
      </c>
      <c r="N68" s="448">
        <v>4725000</v>
      </c>
      <c r="O68" s="54"/>
    </row>
    <row r="69" spans="1:15" ht="14.5" x14ac:dyDescent="0.35">
      <c r="A69" s="154" t="s">
        <v>39</v>
      </c>
      <c r="B69" s="387">
        <f t="shared" si="2"/>
        <v>18655406.57</v>
      </c>
      <c r="C69" s="387">
        <v>2462066.5700000003</v>
      </c>
      <c r="D69" s="387">
        <v>2616922</v>
      </c>
      <c r="E69" s="387">
        <v>4446573</v>
      </c>
      <c r="F69" s="387">
        <v>9129845</v>
      </c>
      <c r="G69" s="387">
        <v>0</v>
      </c>
      <c r="H69" s="387">
        <v>0</v>
      </c>
      <c r="I69" s="387">
        <v>0</v>
      </c>
      <c r="J69" s="387">
        <v>0</v>
      </c>
      <c r="K69" s="387">
        <v>0</v>
      </c>
      <c r="L69" s="387">
        <v>0</v>
      </c>
      <c r="M69" s="387">
        <v>0</v>
      </c>
      <c r="N69" s="448">
        <v>0</v>
      </c>
      <c r="O69" s="54"/>
    </row>
    <row r="70" spans="1:15" ht="14.5" x14ac:dyDescent="0.35">
      <c r="A70" s="154" t="s">
        <v>267</v>
      </c>
      <c r="B70" s="387">
        <f t="shared" si="2"/>
        <v>23372092.199999999</v>
      </c>
      <c r="C70" s="387">
        <v>4590123.2</v>
      </c>
      <c r="D70" s="387">
        <v>8577633</v>
      </c>
      <c r="E70" s="387">
        <v>2591838</v>
      </c>
      <c r="F70" s="387">
        <v>5548391</v>
      </c>
      <c r="G70" s="387">
        <v>647517</v>
      </c>
      <c r="H70" s="387">
        <v>0</v>
      </c>
      <c r="I70" s="387">
        <v>0</v>
      </c>
      <c r="J70" s="387">
        <v>0</v>
      </c>
      <c r="K70" s="387">
        <v>0</v>
      </c>
      <c r="L70" s="387">
        <v>0</v>
      </c>
      <c r="M70" s="387">
        <v>0</v>
      </c>
      <c r="N70" s="448">
        <v>1416590</v>
      </c>
      <c r="O70" s="54"/>
    </row>
    <row r="71" spans="1:15" ht="14.5" x14ac:dyDescent="0.35">
      <c r="A71" s="154" t="s">
        <v>40</v>
      </c>
      <c r="B71" s="387">
        <f t="shared" si="2"/>
        <v>2366951690.5899997</v>
      </c>
      <c r="C71" s="387">
        <v>552227781.28999984</v>
      </c>
      <c r="D71" s="387">
        <v>349179492.12</v>
      </c>
      <c r="E71" s="387">
        <v>495736648.56999993</v>
      </c>
      <c r="F71" s="387">
        <v>624852065.63</v>
      </c>
      <c r="G71" s="387">
        <v>281616726.44999999</v>
      </c>
      <c r="H71" s="387">
        <v>22511820.25</v>
      </c>
      <c r="I71" s="387">
        <v>8743591</v>
      </c>
      <c r="J71" s="387">
        <v>0</v>
      </c>
      <c r="K71" s="387">
        <v>2048104</v>
      </c>
      <c r="L71" s="387">
        <v>0</v>
      </c>
      <c r="M71" s="387">
        <v>11304661.279999999</v>
      </c>
      <c r="N71" s="448">
        <v>18730800</v>
      </c>
      <c r="O71" s="54"/>
    </row>
    <row r="72" spans="1:15" ht="14.5" x14ac:dyDescent="0.35">
      <c r="A72" s="154" t="s">
        <v>41</v>
      </c>
      <c r="B72" s="387">
        <f t="shared" si="2"/>
        <v>54423152.390000001</v>
      </c>
      <c r="C72" s="387">
        <v>11289590.469999999</v>
      </c>
      <c r="D72" s="387">
        <v>14733554</v>
      </c>
      <c r="E72" s="387">
        <v>19838031</v>
      </c>
      <c r="F72" s="387">
        <v>8561976.9199999999</v>
      </c>
      <c r="G72" s="387">
        <v>0</v>
      </c>
      <c r="H72" s="387">
        <v>0</v>
      </c>
      <c r="I72" s="387">
        <v>0</v>
      </c>
      <c r="J72" s="387">
        <v>0</v>
      </c>
      <c r="K72" s="387">
        <v>0</v>
      </c>
      <c r="L72" s="387">
        <v>0</v>
      </c>
      <c r="M72" s="387">
        <v>0</v>
      </c>
      <c r="N72" s="448">
        <v>0</v>
      </c>
      <c r="O72" s="54"/>
    </row>
    <row r="73" spans="1:15" ht="14.5" x14ac:dyDescent="0.35">
      <c r="A73" s="154" t="s">
        <v>145</v>
      </c>
      <c r="B73" s="387">
        <f t="shared" si="2"/>
        <v>22909968.800000001</v>
      </c>
      <c r="C73" s="387">
        <v>5880869.1200000001</v>
      </c>
      <c r="D73" s="387">
        <v>2115471.16</v>
      </c>
      <c r="E73" s="387">
        <v>8102240</v>
      </c>
      <c r="F73" s="387">
        <v>6811388.5199999996</v>
      </c>
      <c r="G73" s="387">
        <v>0</v>
      </c>
      <c r="H73" s="387">
        <v>0</v>
      </c>
      <c r="I73" s="387">
        <v>0</v>
      </c>
      <c r="J73" s="387">
        <v>0</v>
      </c>
      <c r="K73" s="387">
        <v>0</v>
      </c>
      <c r="L73" s="387">
        <v>0</v>
      </c>
      <c r="M73" s="387">
        <v>0</v>
      </c>
      <c r="N73" s="448">
        <v>0</v>
      </c>
      <c r="O73" s="54"/>
    </row>
    <row r="74" spans="1:15" ht="15" thickBot="1" x14ac:dyDescent="0.4">
      <c r="A74" s="154" t="s">
        <v>165</v>
      </c>
      <c r="B74" s="390">
        <f t="shared" si="2"/>
        <v>2748783.49</v>
      </c>
      <c r="C74" s="390">
        <v>1121720</v>
      </c>
      <c r="D74" s="390">
        <v>1396050.49</v>
      </c>
      <c r="E74" s="390">
        <v>0</v>
      </c>
      <c r="F74" s="390">
        <v>0</v>
      </c>
      <c r="G74" s="390">
        <v>0</v>
      </c>
      <c r="H74" s="390">
        <v>0</v>
      </c>
      <c r="I74" s="390">
        <v>0</v>
      </c>
      <c r="J74" s="390">
        <v>0</v>
      </c>
      <c r="K74" s="390">
        <v>0</v>
      </c>
      <c r="L74" s="390">
        <v>0</v>
      </c>
      <c r="M74" s="390">
        <v>0</v>
      </c>
      <c r="N74" s="449">
        <v>231013</v>
      </c>
      <c r="O74" s="54"/>
    </row>
    <row r="75" spans="1:15" ht="14" thickTop="1" x14ac:dyDescent="0.3">
      <c r="A75" s="45" t="s">
        <v>1</v>
      </c>
      <c r="B75" s="20">
        <f t="shared" ref="B75:N75" si="3">SUM(B56:B74)</f>
        <v>8413924017.9200001</v>
      </c>
      <c r="C75" s="20">
        <f t="shared" si="3"/>
        <v>1954811616.3900006</v>
      </c>
      <c r="D75" s="20">
        <f t="shared" si="3"/>
        <v>1276104023.4000001</v>
      </c>
      <c r="E75" s="20">
        <f t="shared" si="3"/>
        <v>1716496367.1699998</v>
      </c>
      <c r="F75" s="20">
        <f t="shared" si="3"/>
        <v>2077157530.3200002</v>
      </c>
      <c r="G75" s="20">
        <f t="shared" si="3"/>
        <v>1121240100.6199999</v>
      </c>
      <c r="H75" s="20">
        <f t="shared" si="3"/>
        <v>86779124.50999999</v>
      </c>
      <c r="I75" s="20">
        <f t="shared" si="3"/>
        <v>26562450.57</v>
      </c>
      <c r="J75" s="20">
        <f t="shared" si="3"/>
        <v>9088136</v>
      </c>
      <c r="K75" s="20">
        <f t="shared" si="3"/>
        <v>8924094.5500000007</v>
      </c>
      <c r="L75" s="20">
        <f t="shared" si="3"/>
        <v>19588536.189999998</v>
      </c>
      <c r="M75" s="20">
        <f t="shared" si="3"/>
        <v>11304661.279999999</v>
      </c>
      <c r="N75" s="20">
        <f t="shared" si="3"/>
        <v>105867376.92</v>
      </c>
      <c r="O75" s="54"/>
    </row>
    <row r="76" spans="1:15" x14ac:dyDescent="0.3">
      <c r="A76" s="37"/>
      <c r="B76" s="38"/>
      <c r="C76" s="38"/>
      <c r="D76" s="38"/>
      <c r="E76" s="38"/>
      <c r="F76" s="38"/>
      <c r="G76" s="38"/>
      <c r="H76" s="38"/>
      <c r="I76" s="392"/>
      <c r="J76" s="392"/>
      <c r="K76" s="392"/>
      <c r="L76" s="392"/>
      <c r="M76" s="392"/>
      <c r="N76" s="392"/>
      <c r="O76" s="54"/>
    </row>
    <row r="77" spans="1:15" x14ac:dyDescent="0.3">
      <c r="A77" s="37"/>
      <c r="B77" s="38"/>
      <c r="C77" s="38"/>
      <c r="D77" s="38"/>
      <c r="E77" s="38"/>
      <c r="F77" s="38"/>
      <c r="G77" s="38"/>
      <c r="H77" s="38"/>
      <c r="I77" s="392"/>
      <c r="J77" s="392"/>
      <c r="K77" s="392"/>
      <c r="L77" s="392"/>
      <c r="M77" s="392"/>
      <c r="N77" s="392"/>
      <c r="O77" s="54"/>
    </row>
    <row r="78" spans="1:15" x14ac:dyDescent="0.3">
      <c r="O78" s="54"/>
    </row>
    <row r="79" spans="1:15" x14ac:dyDescent="0.3">
      <c r="A79" s="187" t="s">
        <v>226</v>
      </c>
      <c r="B79" s="187"/>
      <c r="C79" s="187"/>
      <c r="D79" s="187"/>
      <c r="E79" s="187"/>
      <c r="F79" s="187"/>
      <c r="G79" s="187"/>
      <c r="H79" s="187"/>
      <c r="I79" s="187"/>
      <c r="J79" s="187"/>
      <c r="K79" s="187"/>
      <c r="L79" s="187"/>
      <c r="M79" s="187"/>
      <c r="N79" s="187"/>
      <c r="O79" s="54"/>
    </row>
    <row r="80" spans="1:15" s="69" customFormat="1" x14ac:dyDescent="0.3">
      <c r="A80" s="108"/>
      <c r="B80" s="109" t="s">
        <v>1</v>
      </c>
      <c r="C80" s="110" t="s">
        <v>18</v>
      </c>
      <c r="D80" s="110" t="s">
        <v>19</v>
      </c>
      <c r="E80" s="111" t="s">
        <v>20</v>
      </c>
      <c r="F80" s="112" t="s">
        <v>21</v>
      </c>
      <c r="G80" s="159" t="s">
        <v>138</v>
      </c>
      <c r="H80" s="159" t="s">
        <v>139</v>
      </c>
      <c r="I80" s="112" t="s">
        <v>22</v>
      </c>
      <c r="J80" s="112" t="s">
        <v>23</v>
      </c>
      <c r="K80" s="112" t="s">
        <v>24</v>
      </c>
      <c r="L80" s="112" t="s">
        <v>25</v>
      </c>
      <c r="M80" s="112" t="s">
        <v>26</v>
      </c>
      <c r="N80" s="110" t="s">
        <v>27</v>
      </c>
      <c r="O80" s="185"/>
    </row>
    <row r="81" spans="1:16" x14ac:dyDescent="0.3">
      <c r="A81" s="12"/>
      <c r="B81" s="11"/>
      <c r="C81" s="13"/>
      <c r="D81" s="13"/>
      <c r="E81" s="17"/>
      <c r="F81" s="13"/>
      <c r="G81" s="13"/>
      <c r="H81" s="13"/>
      <c r="I81" s="13"/>
      <c r="J81" s="13"/>
      <c r="K81" s="13"/>
      <c r="L81" s="13"/>
      <c r="M81" s="13"/>
      <c r="N81" s="13"/>
      <c r="O81" s="54"/>
    </row>
    <row r="82" spans="1:16" ht="27" x14ac:dyDescent="0.3">
      <c r="A82" s="16" t="s">
        <v>42</v>
      </c>
      <c r="B82" s="25" t="s">
        <v>4</v>
      </c>
      <c r="C82" s="15" t="s">
        <v>4</v>
      </c>
      <c r="D82" s="15" t="s">
        <v>4</v>
      </c>
      <c r="E82" s="14" t="s">
        <v>4</v>
      </c>
      <c r="F82" s="15" t="s">
        <v>4</v>
      </c>
      <c r="G82" s="15" t="s">
        <v>4</v>
      </c>
      <c r="H82" s="15" t="s">
        <v>4</v>
      </c>
      <c r="I82" s="15" t="s">
        <v>4</v>
      </c>
      <c r="J82" s="15" t="s">
        <v>4</v>
      </c>
      <c r="K82" s="15" t="s">
        <v>4</v>
      </c>
      <c r="L82" s="15" t="s">
        <v>4</v>
      </c>
      <c r="M82" s="15" t="s">
        <v>4</v>
      </c>
      <c r="N82" s="15" t="s">
        <v>4</v>
      </c>
      <c r="O82" s="54"/>
    </row>
    <row r="83" spans="1:16" x14ac:dyDescent="0.3">
      <c r="A83" s="41" t="s">
        <v>182</v>
      </c>
      <c r="B83" s="437">
        <f>SUM(C83:N83)</f>
        <v>8400545017.9200001</v>
      </c>
      <c r="C83" s="394">
        <f>+C99-C84-C85-C86</f>
        <v>1954811616.3900008</v>
      </c>
      <c r="D83" s="394">
        <f t="shared" ref="D83:N83" si="4">+D99-D84-D85-D86</f>
        <v>1276104023.3999996</v>
      </c>
      <c r="E83" s="394">
        <f t="shared" si="4"/>
        <v>1703117367.1700001</v>
      </c>
      <c r="F83" s="394">
        <f t="shared" si="4"/>
        <v>2077157530.3199999</v>
      </c>
      <c r="G83" s="394">
        <f t="shared" si="4"/>
        <v>1121240100.6199999</v>
      </c>
      <c r="H83" s="394">
        <f t="shared" si="4"/>
        <v>86779124.50999999</v>
      </c>
      <c r="I83" s="394">
        <f t="shared" si="4"/>
        <v>26562450.57</v>
      </c>
      <c r="J83" s="394">
        <f t="shared" si="4"/>
        <v>9088136</v>
      </c>
      <c r="K83" s="394">
        <f t="shared" si="4"/>
        <v>8924094.5500000007</v>
      </c>
      <c r="L83" s="394">
        <f t="shared" si="4"/>
        <v>19588536.189999998</v>
      </c>
      <c r="M83" s="394">
        <f t="shared" si="4"/>
        <v>11304661.279999999</v>
      </c>
      <c r="N83" s="394">
        <f t="shared" si="4"/>
        <v>105867376.92</v>
      </c>
      <c r="O83" s="54"/>
    </row>
    <row r="84" spans="1:16" x14ac:dyDescent="0.3">
      <c r="A84" s="49" t="s">
        <v>183</v>
      </c>
      <c r="B84" s="397">
        <f t="shared" ref="B84:B86" si="5">SUM(C84:N84)</f>
        <v>13379000</v>
      </c>
      <c r="C84" s="395"/>
      <c r="D84" s="395">
        <v>0</v>
      </c>
      <c r="E84" s="395">
        <v>13379000</v>
      </c>
      <c r="F84" s="395"/>
      <c r="G84" s="395"/>
      <c r="H84" s="395"/>
      <c r="I84" s="398"/>
      <c r="J84" s="398"/>
      <c r="K84" s="398"/>
      <c r="L84" s="398"/>
      <c r="M84" s="398"/>
      <c r="N84" s="398"/>
      <c r="O84" s="399"/>
    </row>
    <row r="85" spans="1:16" x14ac:dyDescent="0.3">
      <c r="A85" s="42" t="s">
        <v>184</v>
      </c>
      <c r="B85" s="397">
        <f t="shared" si="5"/>
        <v>0</v>
      </c>
      <c r="C85" s="400"/>
      <c r="D85" s="400"/>
      <c r="E85" s="401"/>
      <c r="F85" s="395"/>
      <c r="G85" s="395"/>
      <c r="H85" s="395"/>
      <c r="I85" s="398"/>
      <c r="J85" s="398"/>
      <c r="K85" s="398"/>
      <c r="L85" s="398"/>
      <c r="M85" s="398"/>
      <c r="N85" s="402"/>
      <c r="O85" s="54"/>
    </row>
    <row r="86" spans="1:16" ht="14" thickBot="1" x14ac:dyDescent="0.35">
      <c r="A86" s="42" t="s">
        <v>185</v>
      </c>
      <c r="B86" s="397">
        <f t="shared" si="5"/>
        <v>0</v>
      </c>
      <c r="C86" s="400"/>
      <c r="D86" s="400"/>
      <c r="E86" s="401"/>
      <c r="F86" s="395"/>
      <c r="G86" s="395"/>
      <c r="H86" s="395"/>
      <c r="I86" s="398"/>
      <c r="J86" s="398"/>
      <c r="K86" s="398"/>
      <c r="L86" s="398"/>
      <c r="M86" s="398"/>
      <c r="N86" s="402"/>
      <c r="O86" s="54"/>
    </row>
    <row r="87" spans="1:16" ht="14" thickTop="1" x14ac:dyDescent="0.3">
      <c r="A87" s="44" t="s">
        <v>1</v>
      </c>
      <c r="B87" s="22">
        <f t="shared" ref="B87:N87" si="6">SUM(B83:B86)</f>
        <v>8413924017.9200001</v>
      </c>
      <c r="C87" s="22">
        <f t="shared" si="6"/>
        <v>1954811616.3900008</v>
      </c>
      <c r="D87" s="22">
        <f t="shared" si="6"/>
        <v>1276104023.3999996</v>
      </c>
      <c r="E87" s="22">
        <f t="shared" si="6"/>
        <v>1716496367.1700001</v>
      </c>
      <c r="F87" s="22">
        <f t="shared" si="6"/>
        <v>2077157530.3199999</v>
      </c>
      <c r="G87" s="22">
        <f t="shared" si="6"/>
        <v>1121240100.6199999</v>
      </c>
      <c r="H87" s="22">
        <f t="shared" si="6"/>
        <v>86779124.50999999</v>
      </c>
      <c r="I87" s="22">
        <f t="shared" si="6"/>
        <v>26562450.57</v>
      </c>
      <c r="J87" s="22">
        <f t="shared" si="6"/>
        <v>9088136</v>
      </c>
      <c r="K87" s="22">
        <f t="shared" si="6"/>
        <v>8924094.5500000007</v>
      </c>
      <c r="L87" s="22">
        <f t="shared" si="6"/>
        <v>19588536.189999998</v>
      </c>
      <c r="M87" s="22">
        <f t="shared" si="6"/>
        <v>11304661.279999999</v>
      </c>
      <c r="N87" s="23">
        <f t="shared" si="6"/>
        <v>105867376.92</v>
      </c>
      <c r="O87" s="54"/>
    </row>
    <row r="88" spans="1:16" x14ac:dyDescent="0.3">
      <c r="A88" s="26"/>
      <c r="B88" s="40"/>
      <c r="C88" s="40"/>
      <c r="D88" s="40"/>
      <c r="E88" s="40"/>
      <c r="F88" s="40"/>
      <c r="G88" s="40"/>
      <c r="H88" s="40"/>
      <c r="I88" s="40"/>
      <c r="J88" s="40"/>
      <c r="K88" s="40"/>
      <c r="L88" s="40"/>
      <c r="M88" s="40"/>
      <c r="N88" s="40"/>
      <c r="O88" s="54"/>
    </row>
    <row r="89" spans="1:16" x14ac:dyDescent="0.3">
      <c r="O89" s="54"/>
    </row>
    <row r="90" spans="1:16" x14ac:dyDescent="0.3">
      <c r="A90" s="187" t="s">
        <v>227</v>
      </c>
      <c r="B90" s="187"/>
      <c r="C90" s="187"/>
      <c r="D90" s="187"/>
      <c r="E90" s="187"/>
      <c r="F90" s="187"/>
      <c r="G90" s="187"/>
      <c r="H90" s="187"/>
      <c r="I90" s="187"/>
      <c r="J90" s="187"/>
      <c r="K90" s="187"/>
      <c r="L90" s="187"/>
      <c r="M90" s="187"/>
      <c r="N90" s="187"/>
      <c r="O90" s="54"/>
    </row>
    <row r="91" spans="1:16" x14ac:dyDescent="0.3">
      <c r="A91" s="108"/>
      <c r="B91" s="109" t="s">
        <v>1</v>
      </c>
      <c r="C91" s="110" t="s">
        <v>18</v>
      </c>
      <c r="D91" s="110" t="s">
        <v>19</v>
      </c>
      <c r="E91" s="111" t="s">
        <v>20</v>
      </c>
      <c r="F91" s="112" t="s">
        <v>21</v>
      </c>
      <c r="G91" s="159" t="s">
        <v>138</v>
      </c>
      <c r="H91" s="159" t="s">
        <v>139</v>
      </c>
      <c r="I91" s="112" t="s">
        <v>22</v>
      </c>
      <c r="J91" s="112" t="s">
        <v>23</v>
      </c>
      <c r="K91" s="112" t="s">
        <v>24</v>
      </c>
      <c r="L91" s="112" t="s">
        <v>25</v>
      </c>
      <c r="M91" s="112" t="s">
        <v>26</v>
      </c>
      <c r="N91" s="110" t="s">
        <v>27</v>
      </c>
      <c r="O91" s="54"/>
    </row>
    <row r="92" spans="1:16" x14ac:dyDescent="0.3">
      <c r="A92" s="46"/>
      <c r="B92" s="11"/>
      <c r="C92" s="13"/>
      <c r="D92" s="13"/>
      <c r="E92" s="17"/>
      <c r="F92" s="13"/>
      <c r="G92" s="13"/>
      <c r="H92" s="13"/>
      <c r="I92" s="13"/>
      <c r="J92" s="13"/>
      <c r="K92" s="13"/>
      <c r="L92" s="13"/>
      <c r="M92" s="13"/>
      <c r="N92" s="13"/>
      <c r="O92" s="185"/>
      <c r="P92" s="69"/>
    </row>
    <row r="93" spans="1:16" ht="27" x14ac:dyDescent="0.3">
      <c r="A93" s="47" t="s">
        <v>42</v>
      </c>
      <c r="B93" s="25" t="s">
        <v>4</v>
      </c>
      <c r="C93" s="15" t="s">
        <v>4</v>
      </c>
      <c r="D93" s="15" t="s">
        <v>4</v>
      </c>
      <c r="E93" s="14" t="s">
        <v>4</v>
      </c>
      <c r="F93" s="15" t="s">
        <v>4</v>
      </c>
      <c r="G93" s="15" t="s">
        <v>4</v>
      </c>
      <c r="H93" s="15" t="s">
        <v>4</v>
      </c>
      <c r="I93" s="15" t="s">
        <v>4</v>
      </c>
      <c r="J93" s="15" t="s">
        <v>4</v>
      </c>
      <c r="K93" s="15" t="s">
        <v>4</v>
      </c>
      <c r="L93" s="15" t="s">
        <v>4</v>
      </c>
      <c r="M93" s="15" t="s">
        <v>4</v>
      </c>
      <c r="N93" s="15" t="s">
        <v>4</v>
      </c>
      <c r="O93" s="54"/>
    </row>
    <row r="94" spans="1:16" x14ac:dyDescent="0.3">
      <c r="A94" s="42" t="s">
        <v>62</v>
      </c>
      <c r="B94" s="393">
        <f>SUM(C94:N94)</f>
        <v>1024355037.8399999</v>
      </c>
      <c r="C94" s="403">
        <v>122567006.60999998</v>
      </c>
      <c r="D94" s="404">
        <v>133356149.47999999</v>
      </c>
      <c r="E94" s="404">
        <v>191774822.30000001</v>
      </c>
      <c r="F94" s="404">
        <v>267052601.44999999</v>
      </c>
      <c r="G94" s="404">
        <v>272740043</v>
      </c>
      <c r="H94" s="405">
        <v>9921929</v>
      </c>
      <c r="I94" s="406">
        <v>2108569</v>
      </c>
      <c r="J94" s="397">
        <v>0</v>
      </c>
      <c r="K94" s="393">
        <v>0</v>
      </c>
      <c r="L94" s="407">
        <v>0</v>
      </c>
      <c r="M94" s="407">
        <v>0</v>
      </c>
      <c r="N94" s="393">
        <v>24833917</v>
      </c>
      <c r="O94" s="54"/>
    </row>
    <row r="95" spans="1:16" x14ac:dyDescent="0.3">
      <c r="A95" s="42" t="s">
        <v>63</v>
      </c>
      <c r="B95" s="397">
        <f t="shared" ref="B95:B98" si="7">SUM(C95:N95)</f>
        <v>1543775728.3299999</v>
      </c>
      <c r="C95" s="408">
        <v>229897975.28999999</v>
      </c>
      <c r="D95" s="405">
        <v>196056135.15000004</v>
      </c>
      <c r="E95" s="405">
        <v>318431186.30000007</v>
      </c>
      <c r="F95" s="405">
        <v>465925428.72999996</v>
      </c>
      <c r="G95" s="405">
        <v>287902815</v>
      </c>
      <c r="H95" s="405">
        <v>9061459</v>
      </c>
      <c r="I95" s="406">
        <v>2656235.73</v>
      </c>
      <c r="J95" s="397">
        <v>0</v>
      </c>
      <c r="K95" s="397">
        <v>0</v>
      </c>
      <c r="L95" s="406">
        <v>10092537.85</v>
      </c>
      <c r="M95" s="406">
        <v>11304661.279999999</v>
      </c>
      <c r="N95" s="397">
        <v>12447294</v>
      </c>
      <c r="O95" s="54"/>
    </row>
    <row r="96" spans="1:16" x14ac:dyDescent="0.3">
      <c r="A96" s="42" t="s">
        <v>64</v>
      </c>
      <c r="B96" s="397">
        <f t="shared" si="7"/>
        <v>1690982961.4999998</v>
      </c>
      <c r="C96" s="408">
        <v>298834837.22999996</v>
      </c>
      <c r="D96" s="405">
        <v>222368252.04999998</v>
      </c>
      <c r="E96" s="405">
        <v>384158417.24000001</v>
      </c>
      <c r="F96" s="405">
        <v>513123327.79999995</v>
      </c>
      <c r="G96" s="405">
        <v>225251699.74000001</v>
      </c>
      <c r="H96" s="405">
        <v>13314195.33</v>
      </c>
      <c r="I96" s="406">
        <v>3057737.85</v>
      </c>
      <c r="J96" s="397">
        <v>3553389</v>
      </c>
      <c r="K96" s="397">
        <v>0</v>
      </c>
      <c r="L96" s="406">
        <v>0</v>
      </c>
      <c r="M96" s="406">
        <v>0</v>
      </c>
      <c r="N96" s="397">
        <v>27321105.259999998</v>
      </c>
      <c r="O96" s="54"/>
    </row>
    <row r="97" spans="1:15" x14ac:dyDescent="0.3">
      <c r="A97" s="42" t="s">
        <v>65</v>
      </c>
      <c r="B97" s="397">
        <f t="shared" si="7"/>
        <v>1995750145.9599998</v>
      </c>
      <c r="C97" s="408">
        <v>477939668.70000011</v>
      </c>
      <c r="D97" s="405">
        <v>319508949.55999988</v>
      </c>
      <c r="E97" s="405">
        <v>407331607.87999988</v>
      </c>
      <c r="F97" s="405">
        <v>485685319.12</v>
      </c>
      <c r="G97" s="405">
        <v>236429569.42999998</v>
      </c>
      <c r="H97" s="405">
        <v>30232872</v>
      </c>
      <c r="I97" s="406">
        <v>7388485</v>
      </c>
      <c r="J97" s="397">
        <v>5534747</v>
      </c>
      <c r="K97" s="397">
        <v>0</v>
      </c>
      <c r="L97" s="406">
        <v>7304299.3399999999</v>
      </c>
      <c r="M97" s="406">
        <v>0</v>
      </c>
      <c r="N97" s="397">
        <v>18394627.93</v>
      </c>
      <c r="O97" s="54"/>
    </row>
    <row r="98" spans="1:15" ht="14" thickBot="1" x14ac:dyDescent="0.35">
      <c r="A98" s="43" t="s">
        <v>66</v>
      </c>
      <c r="B98" s="409">
        <f t="shared" si="7"/>
        <v>2159060144.2900009</v>
      </c>
      <c r="C98" s="410">
        <v>825572128.5600009</v>
      </c>
      <c r="D98" s="410">
        <v>404814537.15999979</v>
      </c>
      <c r="E98" s="410">
        <v>414800333.44999999</v>
      </c>
      <c r="F98" s="410">
        <v>345370853.22000003</v>
      </c>
      <c r="G98" s="410">
        <v>98915973.449999988</v>
      </c>
      <c r="H98" s="410">
        <v>24248669.18</v>
      </c>
      <c r="I98" s="411">
        <v>11351422.99</v>
      </c>
      <c r="J98" s="409">
        <v>0</v>
      </c>
      <c r="K98" s="409">
        <v>8924094.5500000007</v>
      </c>
      <c r="L98" s="411">
        <v>2191699</v>
      </c>
      <c r="M98" s="411">
        <v>0</v>
      </c>
      <c r="N98" s="409">
        <v>22870432.73</v>
      </c>
      <c r="O98" s="54"/>
    </row>
    <row r="99" spans="1:15" ht="14" thickTop="1" x14ac:dyDescent="0.3">
      <c r="A99" s="42" t="s">
        <v>1</v>
      </c>
      <c r="B99" s="412">
        <f>SUM(B94:B98)</f>
        <v>8413924017.920001</v>
      </c>
      <c r="C99" s="412">
        <f>SUM(C94:C98)</f>
        <v>1954811616.3900008</v>
      </c>
      <c r="D99" s="412">
        <f t="shared" ref="D99:N99" si="8">SUM(D94:D98)</f>
        <v>1276104023.3999996</v>
      </c>
      <c r="E99" s="412">
        <f t="shared" si="8"/>
        <v>1716496367.1700001</v>
      </c>
      <c r="F99" s="412">
        <f t="shared" si="8"/>
        <v>2077157530.3199999</v>
      </c>
      <c r="G99" s="412">
        <f t="shared" si="8"/>
        <v>1121240100.6199999</v>
      </c>
      <c r="H99" s="412">
        <f t="shared" si="8"/>
        <v>86779124.50999999</v>
      </c>
      <c r="I99" s="412">
        <f t="shared" si="8"/>
        <v>26562450.57</v>
      </c>
      <c r="J99" s="412">
        <f t="shared" si="8"/>
        <v>9088136</v>
      </c>
      <c r="K99" s="412">
        <f t="shared" si="8"/>
        <v>8924094.5500000007</v>
      </c>
      <c r="L99" s="412">
        <f t="shared" si="8"/>
        <v>19588536.189999998</v>
      </c>
      <c r="M99" s="412">
        <f t="shared" si="8"/>
        <v>11304661.279999999</v>
      </c>
      <c r="N99" s="412">
        <f t="shared" si="8"/>
        <v>105867376.92</v>
      </c>
      <c r="O99" s="399"/>
    </row>
    <row r="100" spans="1:15" x14ac:dyDescent="0.3">
      <c r="A100" s="26"/>
      <c r="B100" s="413"/>
      <c r="C100" s="413"/>
      <c r="D100" s="413"/>
      <c r="E100" s="413"/>
      <c r="F100" s="413"/>
      <c r="G100" s="413"/>
      <c r="H100" s="413"/>
      <c r="I100" s="413"/>
      <c r="J100" s="413"/>
      <c r="K100" s="413"/>
      <c r="L100" s="413"/>
      <c r="M100" s="413"/>
      <c r="N100" s="413"/>
      <c r="O100" s="55"/>
    </row>
    <row r="101" spans="1:15" x14ac:dyDescent="0.3">
      <c r="A101" s="67"/>
      <c r="O101" s="54"/>
    </row>
    <row r="102" spans="1:15" x14ac:dyDescent="0.3">
      <c r="A102" s="187" t="s">
        <v>228</v>
      </c>
      <c r="B102" s="187"/>
      <c r="C102" s="187"/>
      <c r="D102" s="187"/>
      <c r="E102" s="187"/>
      <c r="F102" s="187"/>
      <c r="G102" s="187"/>
      <c r="H102" s="187"/>
      <c r="I102" s="187"/>
      <c r="J102" s="187"/>
      <c r="K102" s="187"/>
      <c r="L102" s="187"/>
      <c r="M102" s="187"/>
      <c r="N102" s="187"/>
      <c r="O102" s="54"/>
    </row>
    <row r="103" spans="1:15" x14ac:dyDescent="0.3">
      <c r="A103" s="108"/>
      <c r="B103" s="110" t="s">
        <v>1</v>
      </c>
      <c r="C103" s="110" t="s">
        <v>18</v>
      </c>
      <c r="D103" s="110" t="s">
        <v>19</v>
      </c>
      <c r="E103" s="111" t="s">
        <v>20</v>
      </c>
      <c r="F103" s="112" t="s">
        <v>21</v>
      </c>
      <c r="G103" s="159" t="s">
        <v>138</v>
      </c>
      <c r="H103" s="159" t="s">
        <v>139</v>
      </c>
      <c r="I103" s="112" t="s">
        <v>22</v>
      </c>
      <c r="J103" s="112" t="s">
        <v>23</v>
      </c>
      <c r="K103" s="112" t="s">
        <v>24</v>
      </c>
      <c r="L103" s="112" t="s">
        <v>25</v>
      </c>
      <c r="M103" s="112" t="s">
        <v>26</v>
      </c>
      <c r="N103" s="110" t="s">
        <v>27</v>
      </c>
      <c r="O103" s="54"/>
    </row>
    <row r="104" spans="1:15" x14ac:dyDescent="0.3">
      <c r="A104" s="46"/>
      <c r="B104" s="13"/>
      <c r="C104" s="13"/>
      <c r="D104" s="13"/>
      <c r="E104" s="17"/>
      <c r="F104" s="13"/>
      <c r="G104" s="13"/>
      <c r="H104" s="13"/>
      <c r="I104" s="13"/>
      <c r="J104" s="13"/>
      <c r="K104" s="13"/>
      <c r="L104" s="13"/>
      <c r="M104" s="13"/>
      <c r="N104" s="13"/>
      <c r="O104" s="54"/>
    </row>
    <row r="105" spans="1:15" ht="27" x14ac:dyDescent="0.3">
      <c r="A105" s="47"/>
      <c r="B105" s="15" t="s">
        <v>4</v>
      </c>
      <c r="C105" s="15" t="s">
        <v>4</v>
      </c>
      <c r="D105" s="15" t="s">
        <v>4</v>
      </c>
      <c r="E105" s="14" t="s">
        <v>4</v>
      </c>
      <c r="F105" s="15" t="s">
        <v>4</v>
      </c>
      <c r="G105" s="15" t="s">
        <v>4</v>
      </c>
      <c r="H105" s="15" t="s">
        <v>4</v>
      </c>
      <c r="I105" s="15" t="s">
        <v>4</v>
      </c>
      <c r="J105" s="15" t="s">
        <v>4</v>
      </c>
      <c r="K105" s="15" t="s">
        <v>4</v>
      </c>
      <c r="L105" s="15" t="s">
        <v>4</v>
      </c>
      <c r="M105" s="15" t="s">
        <v>4</v>
      </c>
      <c r="N105" s="15" t="s">
        <v>4</v>
      </c>
      <c r="O105" s="54"/>
    </row>
    <row r="106" spans="1:15" ht="14.5" x14ac:dyDescent="0.35">
      <c r="A106" s="42" t="s">
        <v>201</v>
      </c>
      <c r="B106" s="393">
        <f>SUM(C106:N106)</f>
        <v>8388675411.3200006</v>
      </c>
      <c r="C106" s="414">
        <v>1939734503.7900007</v>
      </c>
      <c r="D106" s="387">
        <v>1273622858.4000006</v>
      </c>
      <c r="E106" s="414">
        <v>1710357907.1699998</v>
      </c>
      <c r="F106" s="387">
        <v>2075605661.3199999</v>
      </c>
      <c r="G106" s="414">
        <v>1121240100.6200001</v>
      </c>
      <c r="H106" s="387">
        <v>86779124.51000002</v>
      </c>
      <c r="I106" s="414">
        <v>26562450.57</v>
      </c>
      <c r="J106" s="387">
        <v>9088136</v>
      </c>
      <c r="K106" s="414">
        <v>8924094.5500000007</v>
      </c>
      <c r="L106" s="387">
        <v>19588536.189999998</v>
      </c>
      <c r="M106" s="414">
        <v>11304661.279999999</v>
      </c>
      <c r="N106" s="414">
        <v>105867376.91999999</v>
      </c>
      <c r="O106" s="54"/>
    </row>
    <row r="107" spans="1:15" ht="14.5" x14ac:dyDescent="0.35">
      <c r="A107" s="42" t="s">
        <v>202</v>
      </c>
      <c r="B107" s="397">
        <f t="shared" ref="B107:B109" si="9">SUM(C107:N107)</f>
        <v>20170101.600000001</v>
      </c>
      <c r="C107" s="415">
        <v>9998607.5999999996</v>
      </c>
      <c r="D107" s="387">
        <v>2481165</v>
      </c>
      <c r="E107" s="415">
        <v>6138460</v>
      </c>
      <c r="F107" s="387">
        <v>1551869</v>
      </c>
      <c r="G107" s="415">
        <v>0</v>
      </c>
      <c r="H107" s="387">
        <v>0</v>
      </c>
      <c r="I107" s="415">
        <v>0</v>
      </c>
      <c r="J107" s="387">
        <v>0</v>
      </c>
      <c r="K107" s="415">
        <v>0</v>
      </c>
      <c r="L107" s="387">
        <v>0</v>
      </c>
      <c r="M107" s="415">
        <v>0</v>
      </c>
      <c r="N107" s="415">
        <v>0</v>
      </c>
      <c r="O107" s="54"/>
    </row>
    <row r="108" spans="1:15" x14ac:dyDescent="0.3">
      <c r="A108" s="42" t="s">
        <v>58</v>
      </c>
      <c r="B108" s="397">
        <f t="shared" si="9"/>
        <v>4185424</v>
      </c>
      <c r="C108" s="416">
        <v>4185424</v>
      </c>
      <c r="D108" s="417">
        <v>0</v>
      </c>
      <c r="E108" s="416">
        <v>0</v>
      </c>
      <c r="F108" s="417">
        <v>0</v>
      </c>
      <c r="G108" s="416">
        <v>0</v>
      </c>
      <c r="H108" s="418">
        <v>0</v>
      </c>
      <c r="I108" s="419">
        <v>0</v>
      </c>
      <c r="J108" s="420">
        <v>0</v>
      </c>
      <c r="K108" s="419">
        <v>0</v>
      </c>
      <c r="L108" s="420">
        <v>0</v>
      </c>
      <c r="M108" s="419">
        <v>0</v>
      </c>
      <c r="N108" s="419">
        <v>0</v>
      </c>
      <c r="O108" s="54"/>
    </row>
    <row r="109" spans="1:15" ht="14" thickBot="1" x14ac:dyDescent="0.35">
      <c r="A109" s="43" t="s">
        <v>203</v>
      </c>
      <c r="B109" s="397">
        <f t="shared" si="9"/>
        <v>893081</v>
      </c>
      <c r="C109" s="422">
        <v>893081</v>
      </c>
      <c r="D109" s="417">
        <v>0</v>
      </c>
      <c r="E109" s="422">
        <v>0</v>
      </c>
      <c r="F109" s="417">
        <v>0</v>
      </c>
      <c r="G109" s="422">
        <v>0</v>
      </c>
      <c r="H109" s="418">
        <v>0</v>
      </c>
      <c r="I109" s="423">
        <v>0</v>
      </c>
      <c r="J109" s="420">
        <v>0</v>
      </c>
      <c r="K109" s="423">
        <v>0</v>
      </c>
      <c r="L109" s="420">
        <v>0</v>
      </c>
      <c r="M109" s="423">
        <v>0</v>
      </c>
      <c r="N109" s="424">
        <v>0</v>
      </c>
      <c r="O109" s="54"/>
    </row>
    <row r="110" spans="1:15" ht="14" thickTop="1" x14ac:dyDescent="0.3">
      <c r="A110" s="42" t="s">
        <v>1</v>
      </c>
      <c r="B110" s="97">
        <f>SUM(B106:B109)</f>
        <v>8413924017.920001</v>
      </c>
      <c r="C110" s="97">
        <f>SUM(C106:C109)</f>
        <v>1954811616.3900006</v>
      </c>
      <c r="D110" s="97">
        <f t="shared" ref="D110:N110" si="10">SUM(D106:D109)</f>
        <v>1276104023.4000006</v>
      </c>
      <c r="E110" s="97">
        <f t="shared" si="10"/>
        <v>1716496367.1699998</v>
      </c>
      <c r="F110" s="97">
        <f t="shared" si="10"/>
        <v>2077157530.3199999</v>
      </c>
      <c r="G110" s="97">
        <f t="shared" si="10"/>
        <v>1121240100.6200001</v>
      </c>
      <c r="H110" s="97">
        <f t="shared" si="10"/>
        <v>86779124.51000002</v>
      </c>
      <c r="I110" s="97">
        <f t="shared" si="10"/>
        <v>26562450.57</v>
      </c>
      <c r="J110" s="97">
        <f t="shared" si="10"/>
        <v>9088136</v>
      </c>
      <c r="K110" s="97">
        <f t="shared" si="10"/>
        <v>8924094.5500000007</v>
      </c>
      <c r="L110" s="97">
        <f t="shared" si="10"/>
        <v>19588536.189999998</v>
      </c>
      <c r="M110" s="97">
        <f t="shared" si="10"/>
        <v>11304661.279999999</v>
      </c>
      <c r="N110" s="97">
        <f t="shared" si="10"/>
        <v>105867376.91999999</v>
      </c>
      <c r="O110" s="54"/>
    </row>
    <row r="111" spans="1:15" x14ac:dyDescent="0.3">
      <c r="A111" s="26"/>
      <c r="B111" s="99"/>
      <c r="C111" s="99"/>
      <c r="D111" s="99"/>
      <c r="E111" s="99"/>
      <c r="F111" s="99"/>
      <c r="G111" s="99"/>
      <c r="H111" s="99"/>
      <c r="I111" s="99"/>
      <c r="J111" s="99"/>
      <c r="K111" s="99"/>
      <c r="L111" s="99"/>
      <c r="M111" s="99"/>
      <c r="N111" s="99"/>
    </row>
    <row r="113" spans="1:15" x14ac:dyDescent="0.3">
      <c r="A113" s="187" t="s">
        <v>229</v>
      </c>
      <c r="B113" s="187"/>
      <c r="C113" s="187"/>
      <c r="D113" s="187"/>
      <c r="E113" s="187"/>
      <c r="F113" s="187"/>
      <c r="G113" s="187"/>
      <c r="H113" s="187"/>
      <c r="I113" s="187"/>
      <c r="J113" s="187"/>
      <c r="K113" s="187"/>
      <c r="L113" s="187"/>
      <c r="M113" s="187"/>
      <c r="N113" s="187"/>
      <c r="O113" s="54"/>
    </row>
    <row r="114" spans="1:15" x14ac:dyDescent="0.3">
      <c r="A114" s="113"/>
      <c r="B114" s="109" t="s">
        <v>1</v>
      </c>
      <c r="C114" s="110" t="s">
        <v>18</v>
      </c>
      <c r="D114" s="110" t="s">
        <v>19</v>
      </c>
      <c r="E114" s="111" t="s">
        <v>20</v>
      </c>
      <c r="F114" s="112" t="s">
        <v>21</v>
      </c>
      <c r="G114" s="159" t="s">
        <v>138</v>
      </c>
      <c r="H114" s="159" t="s">
        <v>139</v>
      </c>
      <c r="I114" s="112" t="s">
        <v>22</v>
      </c>
      <c r="J114" s="112" t="s">
        <v>23</v>
      </c>
      <c r="K114" s="112" t="s">
        <v>24</v>
      </c>
      <c r="L114" s="112" t="s">
        <v>25</v>
      </c>
      <c r="M114" s="112" t="s">
        <v>26</v>
      </c>
      <c r="N114" s="110" t="s">
        <v>27</v>
      </c>
      <c r="O114" s="54"/>
    </row>
    <row r="115" spans="1:15" x14ac:dyDescent="0.3">
      <c r="A115" s="48"/>
      <c r="B115" s="11"/>
      <c r="C115" s="13"/>
      <c r="D115" s="13"/>
      <c r="E115" s="17"/>
      <c r="F115" s="13"/>
      <c r="G115" s="13"/>
      <c r="H115" s="13"/>
      <c r="I115" s="13"/>
      <c r="J115" s="13"/>
      <c r="K115" s="13"/>
      <c r="L115" s="13"/>
      <c r="M115" s="13"/>
      <c r="N115" s="13"/>
      <c r="O115" s="54"/>
    </row>
    <row r="116" spans="1:15" ht="27" x14ac:dyDescent="0.3">
      <c r="A116" s="47"/>
      <c r="B116" s="25" t="s">
        <v>4</v>
      </c>
      <c r="C116" s="15" t="s">
        <v>4</v>
      </c>
      <c r="D116" s="15" t="s">
        <v>4</v>
      </c>
      <c r="E116" s="14" t="s">
        <v>4</v>
      </c>
      <c r="F116" s="15" t="s">
        <v>4</v>
      </c>
      <c r="G116" s="15" t="s">
        <v>4</v>
      </c>
      <c r="H116" s="15" t="s">
        <v>4</v>
      </c>
      <c r="I116" s="15" t="s">
        <v>4</v>
      </c>
      <c r="J116" s="15" t="s">
        <v>4</v>
      </c>
      <c r="K116" s="15" t="s">
        <v>4</v>
      </c>
      <c r="L116" s="15" t="s">
        <v>4</v>
      </c>
      <c r="M116" s="15" t="s">
        <v>4</v>
      </c>
      <c r="N116" s="15" t="s">
        <v>4</v>
      </c>
      <c r="O116" s="54"/>
    </row>
    <row r="117" spans="1:15" x14ac:dyDescent="0.3">
      <c r="A117" s="42" t="s">
        <v>57</v>
      </c>
      <c r="B117" s="394">
        <f>SUM(C117:N117)</f>
        <v>8413924017.9200001</v>
      </c>
      <c r="C117" s="394">
        <f>+C110</f>
        <v>1954811616.3900006</v>
      </c>
      <c r="D117" s="394">
        <f t="shared" ref="D117:N117" si="11">+D110</f>
        <v>1276104023.4000006</v>
      </c>
      <c r="E117" s="394">
        <f t="shared" si="11"/>
        <v>1716496367.1699998</v>
      </c>
      <c r="F117" s="394">
        <f t="shared" si="11"/>
        <v>2077157530.3199999</v>
      </c>
      <c r="G117" s="394">
        <f t="shared" si="11"/>
        <v>1121240100.6200001</v>
      </c>
      <c r="H117" s="394">
        <f t="shared" si="11"/>
        <v>86779124.51000002</v>
      </c>
      <c r="I117" s="394">
        <f t="shared" si="11"/>
        <v>26562450.57</v>
      </c>
      <c r="J117" s="394">
        <f t="shared" si="11"/>
        <v>9088136</v>
      </c>
      <c r="K117" s="394">
        <f t="shared" si="11"/>
        <v>8924094.5500000007</v>
      </c>
      <c r="L117" s="394">
        <f t="shared" si="11"/>
        <v>19588536.189999998</v>
      </c>
      <c r="M117" s="394">
        <f t="shared" si="11"/>
        <v>11304661.279999999</v>
      </c>
      <c r="N117" s="394">
        <f t="shared" si="11"/>
        <v>105867376.91999999</v>
      </c>
      <c r="O117" s="399"/>
    </row>
    <row r="118" spans="1:15" x14ac:dyDescent="0.3">
      <c r="A118" s="42" t="s">
        <v>67</v>
      </c>
      <c r="B118" s="100"/>
      <c r="C118" s="417"/>
      <c r="D118" s="417"/>
      <c r="E118" s="417"/>
      <c r="F118" s="417"/>
      <c r="G118" s="417"/>
      <c r="H118" s="417"/>
      <c r="I118" s="425"/>
      <c r="J118" s="425"/>
      <c r="K118" s="425"/>
      <c r="L118" s="425"/>
      <c r="M118" s="425"/>
      <c r="N118" s="425"/>
      <c r="O118" s="399"/>
    </row>
    <row r="119" spans="1:15" x14ac:dyDescent="0.3">
      <c r="A119" s="42" t="s">
        <v>68</v>
      </c>
      <c r="B119" s="100"/>
      <c r="C119" s="417"/>
      <c r="D119" s="417"/>
      <c r="E119" s="417"/>
      <c r="F119" s="417"/>
      <c r="G119" s="417"/>
      <c r="H119" s="417"/>
      <c r="I119" s="425"/>
      <c r="J119" s="425"/>
      <c r="K119" s="425"/>
      <c r="L119" s="425"/>
      <c r="M119" s="425"/>
      <c r="N119" s="425"/>
      <c r="O119" s="399"/>
    </row>
    <row r="120" spans="1:15" ht="14" thickBot="1" x14ac:dyDescent="0.35">
      <c r="A120" s="43" t="s">
        <v>69</v>
      </c>
      <c r="B120" s="93"/>
      <c r="C120" s="426"/>
      <c r="D120" s="426"/>
      <c r="E120" s="426"/>
      <c r="F120" s="426"/>
      <c r="G120" s="426"/>
      <c r="H120" s="426"/>
      <c r="I120" s="427"/>
      <c r="J120" s="427"/>
      <c r="K120" s="427"/>
      <c r="L120" s="427"/>
      <c r="M120" s="427"/>
      <c r="N120" s="427"/>
      <c r="O120" s="399"/>
    </row>
    <row r="121" spans="1:15" ht="14" thickTop="1" x14ac:dyDescent="0.3">
      <c r="A121" s="42" t="s">
        <v>1</v>
      </c>
      <c r="B121" s="97">
        <f>SUM(B117:B120)</f>
        <v>8413924017.9200001</v>
      </c>
      <c r="C121" s="97">
        <f>SUM(C117:C120)</f>
        <v>1954811616.3900006</v>
      </c>
      <c r="D121" s="97">
        <f t="shared" ref="D121:N121" si="12">SUM(D117:D120)</f>
        <v>1276104023.4000006</v>
      </c>
      <c r="E121" s="97">
        <f t="shared" si="12"/>
        <v>1716496367.1699998</v>
      </c>
      <c r="F121" s="97">
        <f t="shared" si="12"/>
        <v>2077157530.3199999</v>
      </c>
      <c r="G121" s="97">
        <f t="shared" si="12"/>
        <v>1121240100.6200001</v>
      </c>
      <c r="H121" s="97">
        <f t="shared" si="12"/>
        <v>86779124.51000002</v>
      </c>
      <c r="I121" s="97">
        <f t="shared" si="12"/>
        <v>26562450.57</v>
      </c>
      <c r="J121" s="97">
        <f t="shared" si="12"/>
        <v>9088136</v>
      </c>
      <c r="K121" s="97">
        <f t="shared" si="12"/>
        <v>8924094.5500000007</v>
      </c>
      <c r="L121" s="97">
        <f t="shared" si="12"/>
        <v>19588536.189999998</v>
      </c>
      <c r="M121" s="97">
        <f t="shared" si="12"/>
        <v>11304661.279999999</v>
      </c>
      <c r="N121" s="97">
        <f t="shared" si="12"/>
        <v>105867376.91999999</v>
      </c>
      <c r="O121" s="399"/>
    </row>
    <row r="122" spans="1:15" x14ac:dyDescent="0.3">
      <c r="A122" s="26"/>
      <c r="B122" s="99"/>
      <c r="C122" s="99"/>
      <c r="D122" s="99"/>
      <c r="E122" s="99"/>
      <c r="F122" s="99"/>
      <c r="G122" s="99"/>
      <c r="H122" s="99"/>
      <c r="I122" s="99"/>
      <c r="J122" s="99"/>
      <c r="K122" s="99"/>
      <c r="L122" s="99"/>
      <c r="M122" s="99"/>
      <c r="N122" s="99"/>
      <c r="O122" s="55"/>
    </row>
    <row r="123" spans="1:15" x14ac:dyDescent="0.3">
      <c r="O123" s="54"/>
    </row>
    <row r="124" spans="1:15" x14ac:dyDescent="0.3">
      <c r="A124" s="187" t="s">
        <v>230</v>
      </c>
      <c r="B124" s="187"/>
      <c r="C124" s="187"/>
      <c r="D124" s="187"/>
      <c r="E124" s="187"/>
      <c r="F124" s="187"/>
      <c r="G124" s="187"/>
      <c r="H124" s="187"/>
      <c r="I124" s="187"/>
      <c r="J124" s="54"/>
    </row>
    <row r="125" spans="1:15" ht="40.5" x14ac:dyDescent="0.3">
      <c r="A125" s="109" t="s">
        <v>50</v>
      </c>
      <c r="B125" s="109" t="s">
        <v>51</v>
      </c>
      <c r="C125" s="149" t="s">
        <v>204</v>
      </c>
      <c r="D125" s="149" t="s">
        <v>59</v>
      </c>
      <c r="E125" s="149" t="s">
        <v>61</v>
      </c>
      <c r="F125" s="149" t="s">
        <v>53</v>
      </c>
      <c r="G125" s="150" t="s">
        <v>60</v>
      </c>
      <c r="H125" s="151" t="s">
        <v>54</v>
      </c>
      <c r="I125" s="150" t="s">
        <v>55</v>
      </c>
      <c r="J125" s="54"/>
    </row>
    <row r="126" spans="1:15" x14ac:dyDescent="0.3">
      <c r="A126" s="42" t="s">
        <v>164</v>
      </c>
      <c r="B126" s="70" t="s">
        <v>3</v>
      </c>
      <c r="C126" s="419">
        <v>358000000</v>
      </c>
      <c r="D126" s="277">
        <f>E126-365</f>
        <v>43242</v>
      </c>
      <c r="E126" s="277">
        <v>43607</v>
      </c>
      <c r="F126" s="101" t="s">
        <v>56</v>
      </c>
      <c r="G126" s="101" t="s">
        <v>108</v>
      </c>
      <c r="H126" s="277">
        <v>41355</v>
      </c>
      <c r="I126" s="143">
        <v>9</v>
      </c>
      <c r="J126" s="54"/>
    </row>
    <row r="127" spans="1:15" x14ac:dyDescent="0.3">
      <c r="A127" s="42" t="s">
        <v>200</v>
      </c>
      <c r="B127" s="70" t="s">
        <v>3</v>
      </c>
      <c r="C127" s="419">
        <v>650000000</v>
      </c>
      <c r="D127" s="309">
        <v>43438</v>
      </c>
      <c r="E127" s="309">
        <v>43803</v>
      </c>
      <c r="F127" s="143" t="s">
        <v>58</v>
      </c>
      <c r="G127" s="143" t="s">
        <v>109</v>
      </c>
      <c r="H127" s="309">
        <v>41521</v>
      </c>
      <c r="I127" s="143">
        <v>11</v>
      </c>
      <c r="J127" s="54"/>
    </row>
    <row r="128" spans="1:15" x14ac:dyDescent="0.3">
      <c r="A128" s="42" t="s">
        <v>206</v>
      </c>
      <c r="B128" s="70" t="s">
        <v>3</v>
      </c>
      <c r="C128" s="419">
        <v>2000000000</v>
      </c>
      <c r="D128" s="277">
        <v>43640</v>
      </c>
      <c r="E128" s="277">
        <v>44006</v>
      </c>
      <c r="F128" s="101" t="s">
        <v>56</v>
      </c>
      <c r="G128" s="101" t="s">
        <v>108</v>
      </c>
      <c r="H128" s="309">
        <v>41663</v>
      </c>
      <c r="I128" s="143">
        <v>12</v>
      </c>
      <c r="J128" s="54"/>
    </row>
    <row r="129" spans="1:14" x14ac:dyDescent="0.3">
      <c r="A129" s="42" t="s">
        <v>207</v>
      </c>
      <c r="B129" s="70" t="s">
        <v>3</v>
      </c>
      <c r="C129" s="419">
        <v>2000000000</v>
      </c>
      <c r="D129" s="277">
        <v>44315</v>
      </c>
      <c r="E129" s="277">
        <v>44680</v>
      </c>
      <c r="F129" s="101" t="s">
        <v>56</v>
      </c>
      <c r="G129" s="101" t="s">
        <v>108</v>
      </c>
      <c r="H129" s="309">
        <v>41521</v>
      </c>
      <c r="I129" s="143">
        <v>13</v>
      </c>
      <c r="J129" s="54"/>
    </row>
    <row r="130" spans="1:14" x14ac:dyDescent="0.3">
      <c r="A130" s="42" t="s">
        <v>250</v>
      </c>
      <c r="B130" s="70" t="s">
        <v>3</v>
      </c>
      <c r="C130" s="425">
        <v>200000000</v>
      </c>
      <c r="D130" s="277">
        <v>44522</v>
      </c>
      <c r="E130" s="277">
        <v>44887</v>
      </c>
      <c r="F130" s="101" t="s">
        <v>58</v>
      </c>
      <c r="G130" s="101" t="s">
        <v>109</v>
      </c>
      <c r="H130" s="309">
        <v>42696</v>
      </c>
      <c r="I130" s="143">
        <v>14</v>
      </c>
      <c r="J130" s="54"/>
    </row>
    <row r="131" spans="1:14" x14ac:dyDescent="0.3">
      <c r="A131" s="42" t="s">
        <v>251</v>
      </c>
      <c r="B131" s="70" t="s">
        <v>3</v>
      </c>
      <c r="C131" s="425">
        <v>2000000000</v>
      </c>
      <c r="D131" s="277">
        <v>44708</v>
      </c>
      <c r="E131" s="277">
        <v>45073</v>
      </c>
      <c r="F131" s="101" t="s">
        <v>56</v>
      </c>
      <c r="G131" s="101" t="s">
        <v>108</v>
      </c>
      <c r="H131" s="309">
        <v>42913</v>
      </c>
      <c r="I131" s="143">
        <v>15</v>
      </c>
      <c r="J131" s="54"/>
    </row>
    <row r="132" spans="1:14" ht="14" thickBot="1" x14ac:dyDescent="0.35">
      <c r="A132" s="43" t="s">
        <v>268</v>
      </c>
      <c r="B132" s="169" t="s">
        <v>3</v>
      </c>
      <c r="C132" s="427">
        <v>500000000</v>
      </c>
      <c r="D132" s="275">
        <v>44124</v>
      </c>
      <c r="E132" s="275">
        <v>44489</v>
      </c>
      <c r="F132" s="172" t="s">
        <v>56</v>
      </c>
      <c r="G132" s="171" t="s">
        <v>108</v>
      </c>
      <c r="H132" s="278">
        <v>43147</v>
      </c>
      <c r="I132" s="172">
        <v>16</v>
      </c>
      <c r="J132" s="54"/>
    </row>
    <row r="133" spans="1:14" ht="14" thickTop="1" x14ac:dyDescent="0.3">
      <c r="A133" s="26"/>
      <c r="B133" s="67"/>
      <c r="C133" s="367">
        <f>SUM(C126:C132)</f>
        <v>7708000000</v>
      </c>
      <c r="D133" s="429"/>
      <c r="E133" s="429"/>
      <c r="F133" s="105"/>
      <c r="G133" s="105"/>
      <c r="H133" s="429"/>
      <c r="I133" s="105"/>
      <c r="J133" s="54"/>
    </row>
    <row r="134" spans="1:14" s="67" customFormat="1" x14ac:dyDescent="0.3">
      <c r="A134" s="26"/>
      <c r="C134" s="420"/>
      <c r="D134" s="102"/>
      <c r="E134" s="102"/>
      <c r="F134" s="105"/>
      <c r="I134" s="102"/>
    </row>
    <row r="135" spans="1:14" s="67" customFormat="1" x14ac:dyDescent="0.3">
      <c r="A135" s="26"/>
      <c r="C135" s="420"/>
      <c r="D135" s="102"/>
      <c r="E135" s="102"/>
      <c r="F135" s="105"/>
      <c r="H135" s="55"/>
      <c r="I135" s="441"/>
      <c r="J135" s="55"/>
      <c r="K135" s="55"/>
      <c r="L135" s="55"/>
      <c r="M135" s="55"/>
      <c r="N135" s="55"/>
    </row>
    <row r="136" spans="1:14" s="67" customFormat="1" x14ac:dyDescent="0.3">
      <c r="A136" s="187" t="s">
        <v>231</v>
      </c>
      <c r="B136" s="187"/>
      <c r="C136" s="187"/>
      <c r="D136" s="187"/>
      <c r="E136" s="187"/>
      <c r="F136" s="187"/>
      <c r="G136" s="55"/>
      <c r="H136" s="55"/>
      <c r="I136" s="441"/>
      <c r="J136" s="55"/>
      <c r="K136" s="55"/>
      <c r="L136" s="55"/>
      <c r="M136" s="55"/>
      <c r="N136" s="55"/>
    </row>
    <row r="137" spans="1:14" s="67" customFormat="1" x14ac:dyDescent="0.3">
      <c r="A137" s="136" t="s">
        <v>119</v>
      </c>
      <c r="B137" s="19" t="s">
        <v>50</v>
      </c>
      <c r="C137" s="19" t="s">
        <v>120</v>
      </c>
      <c r="D137" s="19" t="s">
        <v>51</v>
      </c>
      <c r="E137" s="63" t="s">
        <v>121</v>
      </c>
      <c r="F137" s="63" t="s">
        <v>166</v>
      </c>
      <c r="G137" s="55"/>
      <c r="H137" s="55"/>
      <c r="I137" s="441"/>
      <c r="J137" s="55"/>
      <c r="K137" s="55"/>
      <c r="L137" s="445"/>
      <c r="M137" s="55"/>
      <c r="N137" s="446"/>
    </row>
    <row r="138" spans="1:14" s="67" customFormat="1" x14ac:dyDescent="0.3">
      <c r="A138" s="8" t="s">
        <v>123</v>
      </c>
      <c r="B138" s="430" t="s">
        <v>124</v>
      </c>
      <c r="C138" s="430" t="s">
        <v>125</v>
      </c>
      <c r="D138" s="430" t="s">
        <v>3</v>
      </c>
      <c r="E138" s="419">
        <v>289607000</v>
      </c>
      <c r="F138" s="196" t="s">
        <v>277</v>
      </c>
      <c r="G138" s="438"/>
      <c r="H138" s="55"/>
      <c r="I138" s="441"/>
      <c r="J138" s="55"/>
      <c r="K138" s="55"/>
      <c r="L138" s="445"/>
      <c r="M138" s="55"/>
      <c r="N138" s="446"/>
    </row>
    <row r="139" spans="1:14" s="67" customFormat="1" x14ac:dyDescent="0.3">
      <c r="A139" s="7" t="s">
        <v>211</v>
      </c>
      <c r="B139" s="372" t="s">
        <v>216</v>
      </c>
      <c r="C139" s="372" t="s">
        <v>128</v>
      </c>
      <c r="D139" s="372" t="s">
        <v>3</v>
      </c>
      <c r="E139" s="417">
        <v>124000000</v>
      </c>
      <c r="F139" s="196" t="s">
        <v>195</v>
      </c>
      <c r="G139" s="438"/>
      <c r="H139" s="55"/>
      <c r="I139" s="441"/>
      <c r="J139" s="55"/>
      <c r="K139" s="55"/>
      <c r="L139" s="445"/>
      <c r="M139" s="55"/>
      <c r="N139" s="446"/>
    </row>
    <row r="140" spans="1:14" s="67" customFormat="1" x14ac:dyDescent="0.3">
      <c r="A140" s="7" t="s">
        <v>190</v>
      </c>
      <c r="B140" s="372" t="s">
        <v>194</v>
      </c>
      <c r="C140" s="372" t="s">
        <v>128</v>
      </c>
      <c r="D140" s="372" t="s">
        <v>3</v>
      </c>
      <c r="E140" s="416">
        <v>45000000</v>
      </c>
      <c r="F140" s="358" t="s">
        <v>129</v>
      </c>
      <c r="G140" s="438"/>
      <c r="H140" s="55"/>
      <c r="I140" s="441"/>
      <c r="J140" s="55"/>
      <c r="K140" s="55"/>
      <c r="L140" s="445"/>
      <c r="M140" s="55"/>
      <c r="N140" s="446"/>
    </row>
    <row r="141" spans="1:14" s="67" customFormat="1" x14ac:dyDescent="0.3">
      <c r="A141" s="7" t="s">
        <v>236</v>
      </c>
      <c r="B141" s="372" t="s">
        <v>239</v>
      </c>
      <c r="C141" s="372" t="s">
        <v>128</v>
      </c>
      <c r="D141" s="372" t="s">
        <v>3</v>
      </c>
      <c r="E141" s="416">
        <v>41000000</v>
      </c>
      <c r="F141" s="358" t="s">
        <v>129</v>
      </c>
      <c r="G141" s="438"/>
      <c r="H141" s="55"/>
      <c r="I141" s="441"/>
      <c r="J141" s="55"/>
      <c r="K141" s="55"/>
      <c r="L141" s="445"/>
      <c r="M141" s="55"/>
      <c r="N141" s="446"/>
    </row>
    <row r="142" spans="1:14" s="67" customFormat="1" x14ac:dyDescent="0.3">
      <c r="A142" s="7" t="s">
        <v>252</v>
      </c>
      <c r="B142" s="372" t="s">
        <v>253</v>
      </c>
      <c r="C142" s="372" t="s">
        <v>128</v>
      </c>
      <c r="D142" s="372" t="s">
        <v>3</v>
      </c>
      <c r="E142" s="416">
        <v>10000000</v>
      </c>
      <c r="F142" s="358" t="s">
        <v>254</v>
      </c>
      <c r="G142" s="438"/>
      <c r="H142" s="55"/>
      <c r="I142" s="441"/>
      <c r="J142" s="55"/>
      <c r="K142" s="55"/>
      <c r="L142" s="445"/>
      <c r="M142" s="55"/>
      <c r="N142" s="446"/>
    </row>
    <row r="143" spans="1:14" s="67" customFormat="1" x14ac:dyDescent="0.3">
      <c r="A143" s="7" t="s">
        <v>255</v>
      </c>
      <c r="B143" s="372" t="s">
        <v>256</v>
      </c>
      <c r="C143" s="372" t="s">
        <v>128</v>
      </c>
      <c r="D143" s="372" t="s">
        <v>3</v>
      </c>
      <c r="E143" s="416">
        <v>51000000</v>
      </c>
      <c r="F143" s="358" t="s">
        <v>129</v>
      </c>
      <c r="G143" s="438"/>
      <c r="H143" s="55"/>
      <c r="I143" s="441"/>
      <c r="J143" s="55"/>
      <c r="K143" s="55"/>
      <c r="L143" s="445"/>
      <c r="M143" s="55"/>
      <c r="N143" s="446"/>
    </row>
    <row r="144" spans="1:14" s="67" customFormat="1" x14ac:dyDescent="0.3">
      <c r="A144" s="7" t="s">
        <v>238</v>
      </c>
      <c r="B144" s="372" t="s">
        <v>241</v>
      </c>
      <c r="C144" s="372" t="s">
        <v>128</v>
      </c>
      <c r="D144" s="372" t="s">
        <v>3</v>
      </c>
      <c r="E144" s="416">
        <v>45000000</v>
      </c>
      <c r="F144" s="358" t="s">
        <v>129</v>
      </c>
      <c r="G144" s="438"/>
      <c r="H144" s="55"/>
      <c r="I144" s="441"/>
      <c r="J144" s="55"/>
      <c r="K144" s="55"/>
      <c r="L144" s="445"/>
      <c r="M144" s="55"/>
      <c r="N144" s="446"/>
    </row>
    <row r="145" spans="1:14" s="67" customFormat="1" x14ac:dyDescent="0.3">
      <c r="A145" s="7" t="s">
        <v>257</v>
      </c>
      <c r="B145" s="372" t="s">
        <v>258</v>
      </c>
      <c r="C145" s="372" t="s">
        <v>128</v>
      </c>
      <c r="D145" s="372" t="s">
        <v>3</v>
      </c>
      <c r="E145" s="416">
        <v>10000000</v>
      </c>
      <c r="F145" s="358" t="s">
        <v>129</v>
      </c>
      <c r="G145" s="438"/>
      <c r="H145" s="55"/>
      <c r="I145" s="441"/>
      <c r="J145" s="55"/>
      <c r="K145" s="55"/>
      <c r="L145" s="445"/>
      <c r="M145" s="55"/>
      <c r="N145" s="446"/>
    </row>
    <row r="146" spans="1:14" s="67" customFormat="1" x14ac:dyDescent="0.3">
      <c r="A146" s="442" t="s">
        <v>264</v>
      </c>
      <c r="B146" s="372" t="s">
        <v>263</v>
      </c>
      <c r="C146" s="372" t="s">
        <v>128</v>
      </c>
      <c r="D146" s="372" t="s">
        <v>3</v>
      </c>
      <c r="E146" s="416">
        <v>25000000</v>
      </c>
      <c r="F146" s="358" t="s">
        <v>129</v>
      </c>
      <c r="G146" s="438"/>
      <c r="H146" s="55"/>
      <c r="I146" s="441"/>
      <c r="J146" s="55"/>
      <c r="K146" s="55"/>
      <c r="L146" s="445"/>
      <c r="M146" s="55"/>
      <c r="N146" s="446"/>
    </row>
    <row r="147" spans="1:14" s="67" customFormat="1" x14ac:dyDescent="0.3">
      <c r="A147" s="7" t="s">
        <v>259</v>
      </c>
      <c r="B147" s="372" t="s">
        <v>260</v>
      </c>
      <c r="C147" s="372" t="s">
        <v>248</v>
      </c>
      <c r="D147" s="372" t="s">
        <v>3</v>
      </c>
      <c r="E147" s="416">
        <v>10000000</v>
      </c>
      <c r="F147" s="358" t="s">
        <v>261</v>
      </c>
      <c r="G147" s="438"/>
      <c r="H147" s="55"/>
      <c r="I147" s="441"/>
      <c r="J147" s="55"/>
      <c r="K147" s="55"/>
      <c r="L147" s="445"/>
      <c r="M147" s="55"/>
      <c r="N147" s="446"/>
    </row>
    <row r="148" spans="1:14" s="67" customFormat="1" ht="14" thickBot="1" x14ac:dyDescent="0.35">
      <c r="A148" s="3" t="s">
        <v>246</v>
      </c>
      <c r="B148" s="443" t="s">
        <v>247</v>
      </c>
      <c r="C148" s="431" t="s">
        <v>248</v>
      </c>
      <c r="D148" s="432" t="s">
        <v>3</v>
      </c>
      <c r="E148" s="444">
        <v>10000000</v>
      </c>
      <c r="F148" s="359" t="s">
        <v>249</v>
      </c>
      <c r="G148" s="438"/>
      <c r="H148" s="55"/>
      <c r="I148" s="441"/>
      <c r="J148" s="55"/>
      <c r="K148" s="55"/>
      <c r="L148" s="445"/>
      <c r="M148" s="55"/>
      <c r="N148" s="446"/>
    </row>
    <row r="149" spans="1:14" ht="14" thickTop="1" x14ac:dyDescent="0.3">
      <c r="A149" s="5" t="s">
        <v>1</v>
      </c>
      <c r="B149" s="434"/>
      <c r="C149" s="434"/>
      <c r="D149" s="434"/>
      <c r="E149" s="423">
        <f>SUM(E138:E148)</f>
        <v>660607000</v>
      </c>
      <c r="F149" s="189"/>
      <c r="G149" s="55"/>
      <c r="H149" s="55"/>
      <c r="I149" s="441"/>
      <c r="J149" s="55"/>
      <c r="K149" s="55"/>
      <c r="L149" s="55"/>
      <c r="M149" s="55"/>
      <c r="N149" s="55"/>
    </row>
    <row r="150" spans="1:14" x14ac:dyDescent="0.3">
      <c r="A150" s="26"/>
      <c r="B150" s="67"/>
      <c r="C150" s="420"/>
      <c r="D150" s="102"/>
      <c r="E150" s="102"/>
      <c r="F150" s="105"/>
      <c r="G150" s="67"/>
      <c r="H150" s="67"/>
      <c r="I150" s="102"/>
      <c r="J150" s="67"/>
      <c r="K150" s="67"/>
      <c r="L150" s="67"/>
      <c r="M150" s="67"/>
      <c r="N150" s="67"/>
    </row>
    <row r="151" spans="1:14" x14ac:dyDescent="0.3">
      <c r="A151" s="67"/>
      <c r="B151" s="67"/>
      <c r="C151" s="67"/>
      <c r="D151" s="67"/>
      <c r="E151" s="67"/>
      <c r="F151" s="67"/>
      <c r="G151" s="67"/>
      <c r="H151" s="67"/>
      <c r="I151" s="67"/>
      <c r="J151" s="67"/>
      <c r="K151" s="67"/>
    </row>
    <row r="152" spans="1:14" x14ac:dyDescent="0.3">
      <c r="A152" s="187" t="s">
        <v>232</v>
      </c>
      <c r="B152" s="187"/>
      <c r="C152" s="187"/>
      <c r="D152" s="187"/>
      <c r="E152" s="187"/>
    </row>
    <row r="172" spans="1:1" x14ac:dyDescent="0.3">
      <c r="A172"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72"/>
  <sheetViews>
    <sheetView topLeftCell="A134" workbookViewId="0">
      <selection activeCell="A138" sqref="A138"/>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43100</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7969236183</v>
      </c>
      <c r="C7" s="263"/>
      <c r="D7" s="364"/>
      <c r="E7" s="450"/>
      <c r="F7" s="266"/>
      <c r="G7" s="55"/>
      <c r="H7" s="55"/>
      <c r="I7" s="67"/>
      <c r="J7" s="67"/>
      <c r="K7" s="67"/>
      <c r="L7" s="67"/>
      <c r="M7" s="67"/>
    </row>
    <row r="8" spans="1:13" x14ac:dyDescent="0.3">
      <c r="A8" s="265" t="s">
        <v>78</v>
      </c>
      <c r="B8" s="365">
        <v>1249880</v>
      </c>
      <c r="C8" s="263"/>
      <c r="D8" s="366"/>
      <c r="E8" s="267"/>
      <c r="F8" s="266"/>
      <c r="G8" s="55"/>
      <c r="H8" s="55"/>
      <c r="I8" s="67"/>
      <c r="J8" s="67"/>
      <c r="K8" s="67"/>
      <c r="L8" s="67"/>
      <c r="M8" s="67"/>
    </row>
    <row r="9" spans="1:13" x14ac:dyDescent="0.3">
      <c r="A9" s="265" t="s">
        <v>73</v>
      </c>
      <c r="B9" s="365">
        <v>6376</v>
      </c>
      <c r="C9" s="263"/>
      <c r="D9" s="364"/>
      <c r="E9" s="267"/>
      <c r="F9" s="266"/>
      <c r="G9" s="55"/>
      <c r="H9" s="55"/>
      <c r="I9" s="67"/>
      <c r="J9" s="67"/>
      <c r="K9" s="67"/>
      <c r="L9" s="67"/>
      <c r="M9" s="67"/>
    </row>
    <row r="10" spans="1:13" ht="13.5" customHeight="1" x14ac:dyDescent="0.3">
      <c r="A10" s="265" t="s">
        <v>79</v>
      </c>
      <c r="B10" s="338">
        <v>9.4000000000000004E-3</v>
      </c>
      <c r="C10" s="263"/>
      <c r="D10" s="268"/>
      <c r="E10" s="267"/>
      <c r="F10" s="266"/>
      <c r="G10" s="55"/>
      <c r="H10" s="55"/>
      <c r="I10" s="67"/>
      <c r="J10" s="67"/>
      <c r="K10" s="67"/>
      <c r="L10" s="67"/>
      <c r="M10" s="67"/>
    </row>
    <row r="11" spans="1:13" x14ac:dyDescent="0.3">
      <c r="A11" s="265" t="s">
        <v>74</v>
      </c>
      <c r="B11" s="365">
        <v>44</v>
      </c>
      <c r="C11" s="348"/>
      <c r="D11" s="349"/>
      <c r="E11" s="350"/>
      <c r="F11" s="266"/>
      <c r="G11" s="55"/>
      <c r="H11" s="55"/>
      <c r="I11" s="67"/>
      <c r="J11" s="67"/>
      <c r="K11" s="67"/>
      <c r="L11" s="67"/>
      <c r="M11" s="67"/>
    </row>
    <row r="12" spans="1:13" x14ac:dyDescent="0.3">
      <c r="A12" s="265" t="s">
        <v>81</v>
      </c>
      <c r="B12" s="365">
        <v>165</v>
      </c>
      <c r="C12" s="348"/>
      <c r="D12" s="349"/>
      <c r="E12" s="350"/>
      <c r="F12" s="266"/>
      <c r="G12" s="445"/>
      <c r="H12" s="445"/>
      <c r="I12" s="67"/>
      <c r="J12" s="67"/>
      <c r="K12" s="67"/>
      <c r="L12" s="67"/>
      <c r="M12" s="67"/>
    </row>
    <row r="13" spans="1:13" x14ac:dyDescent="0.3">
      <c r="A13" s="265" t="s">
        <v>75</v>
      </c>
      <c r="B13" s="365">
        <v>6147</v>
      </c>
      <c r="C13" s="339"/>
      <c r="D13" s="349"/>
      <c r="E13" s="350"/>
      <c r="F13" s="351"/>
      <c r="G13" s="55"/>
      <c r="H13" s="55"/>
      <c r="I13" s="362"/>
      <c r="J13" s="362"/>
      <c r="K13" s="67"/>
      <c r="L13" s="67"/>
      <c r="M13" s="67"/>
    </row>
    <row r="14" spans="1:13" x14ac:dyDescent="0.3">
      <c r="A14" s="265" t="s">
        <v>196</v>
      </c>
      <c r="B14" s="338">
        <v>0.53</v>
      </c>
      <c r="C14" s="339"/>
      <c r="D14" s="349"/>
      <c r="E14" s="350"/>
      <c r="F14" s="351"/>
      <c r="G14" s="55"/>
      <c r="H14" s="55"/>
      <c r="I14" s="362"/>
      <c r="J14" s="362"/>
      <c r="K14" s="67"/>
      <c r="L14" s="67"/>
      <c r="M14" s="67"/>
    </row>
    <row r="15" spans="1:13" x14ac:dyDescent="0.3">
      <c r="A15" s="265" t="s">
        <v>83</v>
      </c>
      <c r="B15" s="269">
        <v>1</v>
      </c>
      <c r="C15" s="339"/>
      <c r="D15" s="349"/>
      <c r="E15" s="350"/>
      <c r="F15" s="351"/>
      <c r="G15" s="55"/>
      <c r="H15" s="55"/>
      <c r="I15" s="362"/>
      <c r="J15" s="362"/>
      <c r="K15" s="67"/>
      <c r="L15" s="67"/>
      <c r="M15" s="67"/>
    </row>
    <row r="16" spans="1:13" x14ac:dyDescent="0.3">
      <c r="A16" s="265" t="s">
        <v>86</v>
      </c>
      <c r="B16" s="269">
        <v>1</v>
      </c>
      <c r="C16" s="339"/>
      <c r="D16" s="349"/>
      <c r="E16" s="350"/>
      <c r="F16" s="351"/>
      <c r="G16" s="55"/>
      <c r="H16" s="55"/>
      <c r="I16" s="362"/>
      <c r="J16" s="362"/>
      <c r="K16" s="67"/>
      <c r="L16" s="67"/>
      <c r="M16" s="67"/>
    </row>
    <row r="17" spans="1:13" x14ac:dyDescent="0.3">
      <c r="A17" s="265" t="s">
        <v>84</v>
      </c>
      <c r="B17" s="265">
        <f>+(E85+E86+E87)/B88</f>
        <v>7.5138945095312043E-4</v>
      </c>
      <c r="C17" s="339"/>
      <c r="D17" s="349"/>
      <c r="E17" s="350"/>
      <c r="F17" s="351"/>
      <c r="G17" s="55"/>
      <c r="H17" s="55"/>
      <c r="I17" s="362"/>
      <c r="J17" s="362"/>
      <c r="K17" s="67"/>
      <c r="L17" s="67"/>
      <c r="M17" s="67"/>
    </row>
    <row r="18" spans="1:13" x14ac:dyDescent="0.3">
      <c r="A18" s="265" t="s">
        <v>49</v>
      </c>
      <c r="B18" s="367">
        <f>108781000+373760000</f>
        <v>482541000</v>
      </c>
      <c r="C18" s="339"/>
      <c r="D18" s="339"/>
      <c r="E18" s="332"/>
      <c r="F18" s="186"/>
      <c r="G18" s="306"/>
      <c r="H18" s="368"/>
      <c r="I18" s="368"/>
      <c r="J18" s="189"/>
      <c r="K18" s="67"/>
      <c r="L18" s="67"/>
      <c r="M18" s="67"/>
    </row>
    <row r="19" spans="1:13" x14ac:dyDescent="0.3">
      <c r="A19" s="262" t="s">
        <v>80</v>
      </c>
      <c r="B19" s="369">
        <f>+B7+B18</f>
        <v>8451777183</v>
      </c>
      <c r="C19" s="339"/>
      <c r="D19" s="348" t="s">
        <v>234</v>
      </c>
      <c r="E19" s="435" t="s">
        <v>235</v>
      </c>
      <c r="F19" s="186"/>
      <c r="G19" s="307"/>
      <c r="H19" s="368"/>
      <c r="I19" s="368"/>
      <c r="J19" s="189"/>
      <c r="K19" s="67"/>
      <c r="L19" s="67"/>
      <c r="M19" s="67"/>
    </row>
    <row r="20" spans="1:13" x14ac:dyDescent="0.3">
      <c r="A20" s="341" t="s">
        <v>197</v>
      </c>
      <c r="B20" s="342">
        <f>($B$19-D20)/E20-1</f>
        <v>0.15302137775104097</v>
      </c>
      <c r="C20" s="339"/>
      <c r="D20" s="436">
        <v>29994890.789999999</v>
      </c>
      <c r="E20" s="435">
        <f>7316792000-13093000+400000</f>
        <v>7304099000</v>
      </c>
      <c r="F20" s="304"/>
      <c r="G20" s="307"/>
      <c r="H20" s="368"/>
      <c r="I20" s="368"/>
      <c r="J20" s="189"/>
      <c r="K20" s="67"/>
      <c r="L20" s="67"/>
      <c r="M20" s="67"/>
    </row>
    <row r="21" spans="1:13" x14ac:dyDescent="0.3">
      <c r="A21" s="341" t="s">
        <v>198</v>
      </c>
      <c r="B21" s="342">
        <f>($B$19-D21)/E20-1</f>
        <v>0.10421924297986651</v>
      </c>
      <c r="C21" s="339"/>
      <c r="D21" s="435">
        <v>386450514.56999999</v>
      </c>
      <c r="E21" s="435"/>
      <c r="F21" s="186"/>
      <c r="G21" s="307"/>
      <c r="H21" s="368"/>
      <c r="I21" s="368"/>
      <c r="J21" s="189"/>
      <c r="K21" s="67"/>
      <c r="L21" s="67"/>
      <c r="M21" s="67"/>
    </row>
    <row r="22" spans="1:13" x14ac:dyDescent="0.3">
      <c r="A22" s="341" t="s">
        <v>233</v>
      </c>
      <c r="B22" s="342">
        <f>($B$19-D22)/E20-1</f>
        <v>3.8849362657872089E-2</v>
      </c>
      <c r="C22" s="339"/>
      <c r="D22" s="435">
        <v>863918592.05999994</v>
      </c>
      <c r="E22" s="435"/>
      <c r="F22" s="186"/>
      <c r="G22" s="307"/>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1925793686.9200006</v>
      </c>
      <c r="C28" s="373">
        <v>2737</v>
      </c>
      <c r="D28" s="196">
        <f t="shared" ref="D28:D37" si="0">B28/$B$40</f>
        <v>0.24165348381159063</v>
      </c>
      <c r="E28" s="355"/>
      <c r="F28" s="186"/>
      <c r="G28" s="186"/>
      <c r="H28" s="368"/>
      <c r="I28" s="374"/>
      <c r="J28" s="189"/>
      <c r="K28" s="67"/>
      <c r="L28" s="67"/>
      <c r="M28" s="67"/>
    </row>
    <row r="29" spans="1:13" ht="14.5" x14ac:dyDescent="0.35">
      <c r="A29" s="6" t="s">
        <v>7</v>
      </c>
      <c r="B29" s="372">
        <v>1223436320.1699998</v>
      </c>
      <c r="C29" s="373">
        <v>872</v>
      </c>
      <c r="D29" s="196">
        <f t="shared" si="0"/>
        <v>0.15351989727599236</v>
      </c>
      <c r="E29" s="355"/>
      <c r="F29" s="257"/>
      <c r="G29" s="257"/>
      <c r="H29" s="257"/>
      <c r="I29" s="257"/>
      <c r="J29" s="189"/>
      <c r="K29" s="67"/>
      <c r="L29" s="67"/>
      <c r="M29" s="67"/>
    </row>
    <row r="30" spans="1:13" ht="14.5" x14ac:dyDescent="0.35">
      <c r="A30" s="6" t="s">
        <v>8</v>
      </c>
      <c r="B30" s="372">
        <v>1656262986.8099999</v>
      </c>
      <c r="C30" s="373">
        <v>1043</v>
      </c>
      <c r="D30" s="196">
        <f t="shared" si="0"/>
        <v>0.20783208688930213</v>
      </c>
      <c r="E30" s="355"/>
      <c r="F30" s="259"/>
      <c r="G30" s="259"/>
      <c r="H30" s="259"/>
      <c r="I30" s="259"/>
      <c r="J30" s="189"/>
      <c r="K30" s="67"/>
      <c r="L30" s="67"/>
      <c r="M30" s="67"/>
    </row>
    <row r="31" spans="1:13" ht="14.5" x14ac:dyDescent="0.35">
      <c r="A31" s="6" t="s">
        <v>9</v>
      </c>
      <c r="B31" s="372">
        <v>1974251391.5999999</v>
      </c>
      <c r="C31" s="373">
        <v>1136</v>
      </c>
      <c r="D31" s="196">
        <f t="shared" si="0"/>
        <v>0.24773407968900432</v>
      </c>
      <c r="E31" s="355"/>
      <c r="F31" s="316"/>
      <c r="G31" s="317"/>
      <c r="H31" s="317"/>
      <c r="I31" s="176"/>
      <c r="J31" s="189"/>
      <c r="K31" s="67"/>
      <c r="L31" s="67"/>
      <c r="M31" s="67"/>
    </row>
    <row r="32" spans="1:13" ht="14.5" x14ac:dyDescent="0.35">
      <c r="A32" s="6" t="s">
        <v>140</v>
      </c>
      <c r="B32" s="372">
        <v>963997924.38</v>
      </c>
      <c r="C32" s="373">
        <v>474</v>
      </c>
      <c r="D32" s="196">
        <f t="shared" si="0"/>
        <v>0.12096490833664594</v>
      </c>
      <c r="E32" s="355"/>
      <c r="F32" s="304"/>
      <c r="G32" s="368"/>
      <c r="H32" s="368"/>
      <c r="I32" s="263"/>
      <c r="J32" s="189"/>
      <c r="K32" s="67"/>
      <c r="L32" s="67"/>
      <c r="M32" s="67"/>
    </row>
    <row r="33" spans="1:15" ht="14.5" x14ac:dyDescent="0.35">
      <c r="A33" s="6" t="s">
        <v>141</v>
      </c>
      <c r="B33" s="372">
        <v>83126172.970000014</v>
      </c>
      <c r="C33" s="373">
        <v>45</v>
      </c>
      <c r="D33" s="196">
        <f t="shared" si="0"/>
        <v>1.0430883344649705E-2</v>
      </c>
      <c r="E33" s="355"/>
      <c r="F33" s="304"/>
      <c r="G33" s="368"/>
      <c r="H33" s="368"/>
      <c r="I33" s="263"/>
      <c r="J33" s="345"/>
      <c r="K33" s="67"/>
      <c r="L33" s="67"/>
      <c r="M33" s="67"/>
    </row>
    <row r="34" spans="1:15" ht="14.5" x14ac:dyDescent="0.35">
      <c r="A34" s="6" t="s">
        <v>10</v>
      </c>
      <c r="B34" s="372">
        <v>28664096.279999997</v>
      </c>
      <c r="C34" s="373">
        <v>16</v>
      </c>
      <c r="D34" s="196">
        <f t="shared" si="0"/>
        <v>3.5968436148791881E-3</v>
      </c>
      <c r="E34" s="355"/>
      <c r="F34" s="304"/>
      <c r="G34" s="368"/>
      <c r="H34" s="368"/>
      <c r="I34" s="263"/>
      <c r="J34" s="362"/>
      <c r="K34" s="67"/>
      <c r="L34" s="67"/>
      <c r="M34" s="67"/>
    </row>
    <row r="35" spans="1:15" ht="14.5" x14ac:dyDescent="0.35">
      <c r="A35" s="6" t="s">
        <v>11</v>
      </c>
      <c r="B35" s="375">
        <v>9143319.4700000007</v>
      </c>
      <c r="C35" s="376">
        <v>9</v>
      </c>
      <c r="D35" s="196">
        <f t="shared" si="0"/>
        <v>1.1473269533153435E-3</v>
      </c>
      <c r="E35" s="355"/>
      <c r="F35" s="304"/>
      <c r="G35" s="368"/>
      <c r="H35" s="368"/>
      <c r="I35" s="263"/>
      <c r="J35" s="67"/>
      <c r="K35" s="67"/>
      <c r="L35" s="67"/>
      <c r="M35" s="67"/>
    </row>
    <row r="36" spans="1:15" ht="14.5" x14ac:dyDescent="0.35">
      <c r="A36" s="6" t="s">
        <v>12</v>
      </c>
      <c r="B36" s="377">
        <v>9274035.7000000011</v>
      </c>
      <c r="C36" s="378">
        <v>5</v>
      </c>
      <c r="D36" s="196">
        <f t="shared" si="0"/>
        <v>1.1637295579062523E-3</v>
      </c>
      <c r="E36" s="355"/>
      <c r="F36" s="304"/>
      <c r="G36" s="368"/>
      <c r="H36" s="368"/>
      <c r="I36" s="263"/>
      <c r="J36" s="67"/>
      <c r="K36" s="67"/>
      <c r="L36" s="67"/>
      <c r="M36" s="67"/>
    </row>
    <row r="37" spans="1:15" ht="14.5" x14ac:dyDescent="0.35">
      <c r="A37" s="6" t="s">
        <v>13</v>
      </c>
      <c r="B37" s="377">
        <v>21594354.949999999</v>
      </c>
      <c r="C37" s="378">
        <v>5</v>
      </c>
      <c r="D37" s="196">
        <f t="shared" si="0"/>
        <v>2.7097145139557944E-3</v>
      </c>
      <c r="E37" s="355"/>
      <c r="F37" s="304"/>
      <c r="G37" s="368"/>
      <c r="H37" s="368"/>
      <c r="I37" s="263"/>
      <c r="J37" s="67"/>
      <c r="K37" s="67"/>
      <c r="L37" s="67"/>
      <c r="M37" s="67"/>
    </row>
    <row r="38" spans="1:15" ht="14.5" x14ac:dyDescent="0.35">
      <c r="A38" s="6" t="s">
        <v>14</v>
      </c>
      <c r="B38" s="377">
        <v>3498129.7</v>
      </c>
      <c r="C38" s="378">
        <v>1</v>
      </c>
      <c r="D38" s="196">
        <f>B38/$B$40</f>
        <v>4.3895420084265265E-4</v>
      </c>
      <c r="E38" s="355"/>
      <c r="F38" s="304"/>
      <c r="G38" s="368"/>
      <c r="H38" s="368"/>
      <c r="I38" s="263"/>
      <c r="J38" s="67"/>
      <c r="K38" s="67"/>
      <c r="L38" s="67"/>
      <c r="M38" s="67"/>
      <c r="O38" s="54"/>
    </row>
    <row r="39" spans="1:15" ht="15" thickBot="1" x14ac:dyDescent="0.4">
      <c r="A39" s="4" t="s">
        <v>15</v>
      </c>
      <c r="B39" s="379">
        <v>70193763.969999999</v>
      </c>
      <c r="C39" s="380">
        <v>33</v>
      </c>
      <c r="D39" s="192">
        <f>B39/$B$40</f>
        <v>8.8080918119157019E-3</v>
      </c>
      <c r="E39" s="355"/>
      <c r="F39" s="304"/>
      <c r="G39" s="374"/>
      <c r="H39" s="374"/>
      <c r="I39" s="263"/>
      <c r="J39" s="67"/>
      <c r="K39" s="67"/>
      <c r="L39" s="67"/>
      <c r="M39" s="67"/>
      <c r="O39" s="54"/>
    </row>
    <row r="40" spans="1:15" ht="15" thickTop="1" x14ac:dyDescent="0.35">
      <c r="A40" s="1" t="s">
        <v>1</v>
      </c>
      <c r="B40" s="18">
        <f>SUM(B28:B39)</f>
        <v>7969236182.9200001</v>
      </c>
      <c r="C40" s="381">
        <f>SUM(C28:C39)</f>
        <v>6376</v>
      </c>
      <c r="D40" s="344">
        <f>SUM(D28:D39)</f>
        <v>0.99999999999999989</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231192104.12000003</v>
      </c>
      <c r="C46" s="373">
        <v>1808</v>
      </c>
      <c r="D46" s="196">
        <f>B46/$B$40</f>
        <v>2.9010572508253753E-2</v>
      </c>
      <c r="E46" s="384"/>
      <c r="O46" s="54"/>
    </row>
    <row r="47" spans="1:15" x14ac:dyDescent="0.3">
      <c r="A47" s="6" t="s">
        <v>221</v>
      </c>
      <c r="B47" s="372">
        <v>804407257.64000022</v>
      </c>
      <c r="C47" s="373">
        <v>1053</v>
      </c>
      <c r="D47" s="196">
        <f t="shared" ref="D47:D49" si="1">B47/$B$40</f>
        <v>0.10093906607562209</v>
      </c>
      <c r="E47" s="384"/>
      <c r="O47" s="54"/>
    </row>
    <row r="48" spans="1:15" x14ac:dyDescent="0.3">
      <c r="A48" s="6" t="s">
        <v>222</v>
      </c>
      <c r="B48" s="372">
        <v>3217893160.0300002</v>
      </c>
      <c r="C48" s="373">
        <v>2163</v>
      </c>
      <c r="D48" s="196">
        <f t="shared" si="1"/>
        <v>0.40378940793933593</v>
      </c>
      <c r="E48" s="384"/>
      <c r="O48" s="54"/>
    </row>
    <row r="49" spans="1:15" x14ac:dyDescent="0.3">
      <c r="A49" s="6" t="s">
        <v>223</v>
      </c>
      <c r="B49" s="372">
        <v>2392394816.5600009</v>
      </c>
      <c r="C49" s="373">
        <v>1004</v>
      </c>
      <c r="D49" s="196">
        <f t="shared" si="1"/>
        <v>0.30020377883735977</v>
      </c>
      <c r="E49" s="384"/>
      <c r="O49" s="54"/>
    </row>
    <row r="50" spans="1:15" ht="14" thickBot="1" x14ac:dyDescent="0.35">
      <c r="A50" s="4" t="s">
        <v>224</v>
      </c>
      <c r="B50" s="379">
        <v>1323348844.5699995</v>
      </c>
      <c r="C50" s="380">
        <v>348</v>
      </c>
      <c r="D50" s="192">
        <f>B50/$B$40</f>
        <v>0.16605717463942857</v>
      </c>
      <c r="E50" s="384"/>
      <c r="O50" s="54"/>
    </row>
    <row r="51" spans="1:15" ht="14" thickTop="1" x14ac:dyDescent="0.3">
      <c r="A51" s="1" t="s">
        <v>1</v>
      </c>
      <c r="B51" s="18">
        <f>SUM(B46:B50)</f>
        <v>7969236182.920001</v>
      </c>
      <c r="C51" s="381">
        <f>SUM(C46:C50)</f>
        <v>6376</v>
      </c>
      <c r="D51" s="344">
        <f>SUM(D46:D50)</f>
        <v>1.0000000000000002</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247582395.19</v>
      </c>
      <c r="C56" s="387">
        <v>98594153.949999988</v>
      </c>
      <c r="D56" s="387">
        <v>47556400.119999997</v>
      </c>
      <c r="E56" s="387">
        <v>66172794.840000011</v>
      </c>
      <c r="F56" s="387">
        <v>21760444.280000001</v>
      </c>
      <c r="G56" s="387">
        <v>9157989</v>
      </c>
      <c r="H56" s="387">
        <v>0</v>
      </c>
      <c r="I56" s="387">
        <v>0</v>
      </c>
      <c r="J56" s="387">
        <v>0</v>
      </c>
      <c r="K56" s="387">
        <v>0</v>
      </c>
      <c r="L56" s="387">
        <v>0</v>
      </c>
      <c r="M56" s="387">
        <v>0</v>
      </c>
      <c r="N56" s="447">
        <v>4340613</v>
      </c>
      <c r="O56" s="54"/>
    </row>
    <row r="57" spans="1:15" ht="14.5" x14ac:dyDescent="0.35">
      <c r="A57" s="154" t="s">
        <v>29</v>
      </c>
      <c r="B57" s="387">
        <f t="shared" ref="B57:B75" si="2">SUM(C57:N57)</f>
        <v>506803899.96000004</v>
      </c>
      <c r="C57" s="387">
        <v>94761904.070000023</v>
      </c>
      <c r="D57" s="387">
        <v>103482110.87</v>
      </c>
      <c r="E57" s="387">
        <v>120026854.89</v>
      </c>
      <c r="F57" s="387">
        <v>127379869.08999999</v>
      </c>
      <c r="G57" s="387">
        <v>38317284</v>
      </c>
      <c r="H57" s="387">
        <v>12444733</v>
      </c>
      <c r="I57" s="387">
        <v>0</v>
      </c>
      <c r="J57" s="387">
        <v>0</v>
      </c>
      <c r="K57" s="387">
        <v>0</v>
      </c>
      <c r="L57" s="387">
        <v>0</v>
      </c>
      <c r="M57" s="387">
        <v>0</v>
      </c>
      <c r="N57" s="448">
        <v>10391144.039999999</v>
      </c>
      <c r="O57" s="54"/>
    </row>
    <row r="58" spans="1:15" ht="14.5" x14ac:dyDescent="0.35">
      <c r="A58" s="154" t="s">
        <v>30</v>
      </c>
      <c r="B58" s="387">
        <f t="shared" si="2"/>
        <v>73025086.430000007</v>
      </c>
      <c r="C58" s="387">
        <v>18619607.050000001</v>
      </c>
      <c r="D58" s="387">
        <v>28292146.740000002</v>
      </c>
      <c r="E58" s="387">
        <v>8602411.6400000006</v>
      </c>
      <c r="F58" s="387">
        <v>4577005</v>
      </c>
      <c r="G58" s="387">
        <v>10385860</v>
      </c>
      <c r="H58" s="387">
        <v>0</v>
      </c>
      <c r="I58" s="387">
        <v>0</v>
      </c>
      <c r="J58" s="387">
        <v>0</v>
      </c>
      <c r="K58" s="387">
        <v>0</v>
      </c>
      <c r="L58" s="387">
        <v>0</v>
      </c>
      <c r="M58" s="387">
        <v>0</v>
      </c>
      <c r="N58" s="448">
        <v>2548056</v>
      </c>
      <c r="O58" s="54"/>
    </row>
    <row r="59" spans="1:15" ht="14.5" x14ac:dyDescent="0.35">
      <c r="A59" s="154" t="s">
        <v>142</v>
      </c>
      <c r="B59" s="387">
        <f t="shared" si="2"/>
        <v>6612523.7400000002</v>
      </c>
      <c r="C59" s="387">
        <v>305742</v>
      </c>
      <c r="D59" s="387">
        <v>0</v>
      </c>
      <c r="E59" s="387">
        <v>0</v>
      </c>
      <c r="F59" s="387">
        <v>0</v>
      </c>
      <c r="G59" s="387">
        <v>6306781.7400000002</v>
      </c>
      <c r="H59" s="387">
        <v>0</v>
      </c>
      <c r="I59" s="387">
        <v>0</v>
      </c>
      <c r="J59" s="387">
        <v>0</v>
      </c>
      <c r="K59" s="387">
        <v>0</v>
      </c>
      <c r="L59" s="387">
        <v>0</v>
      </c>
      <c r="M59" s="387">
        <v>0</v>
      </c>
      <c r="N59" s="448">
        <v>0</v>
      </c>
      <c r="O59" s="54"/>
    </row>
    <row r="60" spans="1:15" ht="14.5" x14ac:dyDescent="0.35">
      <c r="A60" s="154" t="s">
        <v>31</v>
      </c>
      <c r="B60" s="387">
        <f t="shared" si="2"/>
        <v>15493847.189999999</v>
      </c>
      <c r="C60" s="387">
        <v>1188979</v>
      </c>
      <c r="D60" s="387">
        <v>4037593.19</v>
      </c>
      <c r="E60" s="387">
        <v>4606947</v>
      </c>
      <c r="F60" s="387">
        <v>5660328</v>
      </c>
      <c r="G60" s="387">
        <v>0</v>
      </c>
      <c r="H60" s="387">
        <v>0</v>
      </c>
      <c r="I60" s="387">
        <v>0</v>
      </c>
      <c r="J60" s="387">
        <v>0</v>
      </c>
      <c r="K60" s="387">
        <v>0</v>
      </c>
      <c r="L60" s="387">
        <v>0</v>
      </c>
      <c r="M60" s="387">
        <v>0</v>
      </c>
      <c r="N60" s="448">
        <v>0</v>
      </c>
      <c r="O60" s="54"/>
    </row>
    <row r="61" spans="1:15" ht="14.5" x14ac:dyDescent="0.35">
      <c r="A61" s="154" t="s">
        <v>32</v>
      </c>
      <c r="B61" s="387">
        <f t="shared" si="2"/>
        <v>643055058.51000023</v>
      </c>
      <c r="C61" s="387">
        <v>152807783.18000004</v>
      </c>
      <c r="D61" s="387">
        <v>71645410.359999985</v>
      </c>
      <c r="E61" s="387">
        <v>125800435.92</v>
      </c>
      <c r="F61" s="387">
        <v>151842180.44000003</v>
      </c>
      <c r="G61" s="387">
        <v>80902175.609999999</v>
      </c>
      <c r="H61" s="387">
        <v>21675901.240000002</v>
      </c>
      <c r="I61" s="387">
        <v>12517421.9</v>
      </c>
      <c r="J61" s="387">
        <v>3475688</v>
      </c>
      <c r="K61" s="387">
        <v>7028351.7000000011</v>
      </c>
      <c r="L61" s="387">
        <v>3082247</v>
      </c>
      <c r="M61" s="387">
        <v>3498129.7</v>
      </c>
      <c r="N61" s="448">
        <v>8779333.4600000009</v>
      </c>
      <c r="O61" s="54"/>
    </row>
    <row r="62" spans="1:15" ht="14.5" x14ac:dyDescent="0.35">
      <c r="A62" s="154" t="s">
        <v>143</v>
      </c>
      <c r="B62" s="387">
        <f t="shared" si="2"/>
        <v>11426369.17</v>
      </c>
      <c r="C62" s="387">
        <v>3337302</v>
      </c>
      <c r="D62" s="387">
        <v>1450015</v>
      </c>
      <c r="E62" s="387">
        <v>809169</v>
      </c>
      <c r="F62" s="387">
        <v>5829883.1699999999</v>
      </c>
      <c r="G62" s="387">
        <v>0</v>
      </c>
      <c r="H62" s="387">
        <v>0</v>
      </c>
      <c r="I62" s="387">
        <v>0</v>
      </c>
      <c r="J62" s="387">
        <v>0</v>
      </c>
      <c r="K62" s="387">
        <v>0</v>
      </c>
      <c r="L62" s="387">
        <v>0</v>
      </c>
      <c r="M62" s="387">
        <v>0</v>
      </c>
      <c r="N62" s="448">
        <v>0</v>
      </c>
      <c r="O62" s="54"/>
    </row>
    <row r="63" spans="1:15" ht="14.5" x14ac:dyDescent="0.35">
      <c r="A63" s="154" t="s">
        <v>33</v>
      </c>
      <c r="B63" s="387">
        <f t="shared" si="2"/>
        <v>8976552.7199999988</v>
      </c>
      <c r="C63" s="387">
        <v>483317.72000000003</v>
      </c>
      <c r="D63" s="387">
        <v>0</v>
      </c>
      <c r="E63" s="387">
        <v>1593514</v>
      </c>
      <c r="F63" s="387">
        <v>4654037</v>
      </c>
      <c r="G63" s="387">
        <v>0</v>
      </c>
      <c r="H63" s="387">
        <v>0</v>
      </c>
      <c r="I63" s="387">
        <v>0</v>
      </c>
      <c r="J63" s="387">
        <v>0</v>
      </c>
      <c r="K63" s="387">
        <v>2245684</v>
      </c>
      <c r="L63" s="387">
        <v>0</v>
      </c>
      <c r="M63" s="387">
        <v>0</v>
      </c>
      <c r="N63" s="448">
        <v>0</v>
      </c>
      <c r="O63" s="54"/>
    </row>
    <row r="64" spans="1:15" ht="14.5" x14ac:dyDescent="0.35">
      <c r="A64" s="154" t="s">
        <v>34</v>
      </c>
      <c r="B64" s="387">
        <f t="shared" si="2"/>
        <v>13193261.01</v>
      </c>
      <c r="C64" s="387">
        <v>2220715.0099999998</v>
      </c>
      <c r="D64" s="387">
        <v>1900427</v>
      </c>
      <c r="E64" s="387">
        <v>2104002</v>
      </c>
      <c r="F64" s="387">
        <v>4963001</v>
      </c>
      <c r="G64" s="387">
        <v>2005116</v>
      </c>
      <c r="H64" s="387">
        <v>0</v>
      </c>
      <c r="I64" s="387">
        <v>0</v>
      </c>
      <c r="J64" s="387">
        <v>0</v>
      </c>
      <c r="K64" s="387">
        <v>0</v>
      </c>
      <c r="L64" s="387">
        <v>0</v>
      </c>
      <c r="M64" s="387">
        <v>0</v>
      </c>
      <c r="N64" s="448">
        <v>0</v>
      </c>
      <c r="O64" s="54"/>
    </row>
    <row r="65" spans="1:15" ht="14.5" x14ac:dyDescent="0.35">
      <c r="A65" s="154" t="s">
        <v>35</v>
      </c>
      <c r="B65" s="387">
        <f t="shared" si="2"/>
        <v>356438892.67999995</v>
      </c>
      <c r="C65" s="387">
        <v>141347136.04999998</v>
      </c>
      <c r="D65" s="387">
        <v>58852051.539999999</v>
      </c>
      <c r="E65" s="387">
        <v>72177976.210000008</v>
      </c>
      <c r="F65" s="387">
        <v>51194349</v>
      </c>
      <c r="G65" s="387">
        <v>12937714</v>
      </c>
      <c r="H65" s="387">
        <v>0</v>
      </c>
      <c r="I65" s="387">
        <v>5000000</v>
      </c>
      <c r="J65" s="387">
        <v>0</v>
      </c>
      <c r="K65" s="387">
        <v>0</v>
      </c>
      <c r="L65" s="387">
        <v>8770474.5299999993</v>
      </c>
      <c r="M65" s="387">
        <v>0</v>
      </c>
      <c r="N65" s="448">
        <v>6159191.3499999996</v>
      </c>
      <c r="O65" s="54"/>
    </row>
    <row r="66" spans="1:15" ht="14.5" x14ac:dyDescent="0.35">
      <c r="A66" s="154" t="s">
        <v>36</v>
      </c>
      <c r="B66" s="387">
        <f t="shared" si="2"/>
        <v>3296850191.5800009</v>
      </c>
      <c r="C66" s="387">
        <v>775405246.92000079</v>
      </c>
      <c r="D66" s="387">
        <v>477957839.96999997</v>
      </c>
      <c r="E66" s="387">
        <v>700587858.83999991</v>
      </c>
      <c r="F66" s="387">
        <v>808503214.63999987</v>
      </c>
      <c r="G66" s="387">
        <v>463816913.29999995</v>
      </c>
      <c r="H66" s="387">
        <v>24805906.479999997</v>
      </c>
      <c r="I66" s="387">
        <v>5463686.4199999999</v>
      </c>
      <c r="J66" s="387">
        <v>5667631.4700000007</v>
      </c>
      <c r="K66" s="387">
        <v>0</v>
      </c>
      <c r="L66" s="387">
        <v>9741633.4199999999</v>
      </c>
      <c r="M66" s="387">
        <v>0</v>
      </c>
      <c r="N66" s="448">
        <v>24900260.120000001</v>
      </c>
      <c r="O66" s="54"/>
    </row>
    <row r="67" spans="1:15" ht="14.5" x14ac:dyDescent="0.35">
      <c r="A67" s="154" t="s">
        <v>37</v>
      </c>
      <c r="B67" s="387">
        <f t="shared" si="2"/>
        <v>302332028.14999998</v>
      </c>
      <c r="C67" s="387">
        <v>65336704.590000004</v>
      </c>
      <c r="D67" s="387">
        <v>57415315.030000009</v>
      </c>
      <c r="E67" s="387">
        <v>53145940.999999993</v>
      </c>
      <c r="F67" s="387">
        <v>87029041.530000001</v>
      </c>
      <c r="G67" s="387">
        <v>37849763</v>
      </c>
      <c r="H67" s="387">
        <v>1555263</v>
      </c>
      <c r="I67" s="387">
        <v>0</v>
      </c>
      <c r="J67" s="387">
        <v>0</v>
      </c>
      <c r="K67" s="387">
        <v>0</v>
      </c>
      <c r="L67" s="387">
        <v>0</v>
      </c>
      <c r="M67" s="387">
        <v>0</v>
      </c>
      <c r="N67" s="448">
        <v>0</v>
      </c>
      <c r="O67" s="54"/>
    </row>
    <row r="68" spans="1:15" ht="14.5" x14ac:dyDescent="0.35">
      <c r="A68" s="154" t="s">
        <v>144</v>
      </c>
      <c r="B68" s="387">
        <f t="shared" si="2"/>
        <v>0</v>
      </c>
      <c r="C68" s="387">
        <v>0</v>
      </c>
      <c r="D68" s="387">
        <v>0</v>
      </c>
      <c r="E68" s="387">
        <v>0</v>
      </c>
      <c r="F68" s="387">
        <v>0</v>
      </c>
      <c r="G68" s="387">
        <v>0</v>
      </c>
      <c r="H68" s="387">
        <v>0</v>
      </c>
      <c r="I68" s="387">
        <v>0</v>
      </c>
      <c r="J68" s="387">
        <v>0</v>
      </c>
      <c r="K68" s="387">
        <v>0</v>
      </c>
      <c r="L68" s="387">
        <v>0</v>
      </c>
      <c r="M68" s="387">
        <v>0</v>
      </c>
      <c r="N68" s="448">
        <v>0</v>
      </c>
      <c r="O68" s="54"/>
    </row>
    <row r="69" spans="1:15" ht="14.5" x14ac:dyDescent="0.35">
      <c r="A69" s="154" t="s">
        <v>38</v>
      </c>
      <c r="B69" s="387">
        <f t="shared" si="2"/>
        <v>26556069.18</v>
      </c>
      <c r="C69" s="387">
        <v>7827188.0700000003</v>
      </c>
      <c r="D69" s="387">
        <v>1437509.94</v>
      </c>
      <c r="E69" s="387">
        <v>11394405.169999998</v>
      </c>
      <c r="F69" s="387">
        <v>1938781</v>
      </c>
      <c r="G69" s="387">
        <v>1307291</v>
      </c>
      <c r="H69" s="387">
        <v>2650894</v>
      </c>
      <c r="I69" s="387">
        <v>0</v>
      </c>
      <c r="J69" s="387">
        <v>0</v>
      </c>
      <c r="K69" s="387">
        <v>0</v>
      </c>
      <c r="L69" s="387">
        <v>0</v>
      </c>
      <c r="M69" s="387">
        <v>0</v>
      </c>
      <c r="N69" s="448">
        <v>0</v>
      </c>
      <c r="O69" s="54"/>
    </row>
    <row r="70" spans="1:15" ht="14.5" x14ac:dyDescent="0.35">
      <c r="A70" s="154" t="s">
        <v>39</v>
      </c>
      <c r="B70" s="387">
        <f t="shared" si="2"/>
        <v>11482896.08</v>
      </c>
      <c r="C70" s="387">
        <v>2972490.08</v>
      </c>
      <c r="D70" s="387">
        <v>0</v>
      </c>
      <c r="E70" s="387">
        <v>3252172</v>
      </c>
      <c r="F70" s="387">
        <v>5258234</v>
      </c>
      <c r="G70" s="387">
        <v>0</v>
      </c>
      <c r="H70" s="387">
        <v>0</v>
      </c>
      <c r="I70" s="387">
        <v>0</v>
      </c>
      <c r="J70" s="387">
        <v>0</v>
      </c>
      <c r="K70" s="387">
        <v>0</v>
      </c>
      <c r="L70" s="387">
        <v>0</v>
      </c>
      <c r="M70" s="387">
        <v>0</v>
      </c>
      <c r="N70" s="448">
        <v>0</v>
      </c>
      <c r="O70" s="54"/>
    </row>
    <row r="71" spans="1:15" ht="14.5" x14ac:dyDescent="0.35">
      <c r="A71" s="154" t="s">
        <v>267</v>
      </c>
      <c r="B71" s="387">
        <f t="shared" si="2"/>
        <v>25955972.199999999</v>
      </c>
      <c r="C71" s="387">
        <v>5159325</v>
      </c>
      <c r="D71" s="387">
        <v>5075698.2</v>
      </c>
      <c r="E71" s="387">
        <v>3050006</v>
      </c>
      <c r="F71" s="387">
        <v>12016107</v>
      </c>
      <c r="G71" s="387">
        <v>654836</v>
      </c>
      <c r="H71" s="387">
        <v>0</v>
      </c>
      <c r="I71" s="387">
        <v>0</v>
      </c>
      <c r="J71" s="387">
        <v>0</v>
      </c>
      <c r="K71" s="387">
        <v>0</v>
      </c>
      <c r="L71" s="387">
        <v>0</v>
      </c>
      <c r="M71" s="387">
        <v>0</v>
      </c>
      <c r="N71" s="448">
        <v>0</v>
      </c>
      <c r="O71" s="54"/>
    </row>
    <row r="72" spans="1:15" ht="14.5" x14ac:dyDescent="0.35">
      <c r="A72" s="154" t="s">
        <v>40</v>
      </c>
      <c r="B72" s="387">
        <f t="shared" si="2"/>
        <v>2347284203.8900003</v>
      </c>
      <c r="C72" s="387">
        <v>538387235.47000003</v>
      </c>
      <c r="D72" s="387">
        <v>353131750.67000008</v>
      </c>
      <c r="E72" s="387">
        <v>465529315.79999995</v>
      </c>
      <c r="F72" s="387">
        <v>651128072.00999999</v>
      </c>
      <c r="G72" s="387">
        <v>300356200.73000002</v>
      </c>
      <c r="H72" s="387">
        <v>19993475.25</v>
      </c>
      <c r="I72" s="387">
        <v>5682987.96</v>
      </c>
      <c r="J72" s="387">
        <v>0</v>
      </c>
      <c r="K72" s="387">
        <v>0</v>
      </c>
      <c r="L72" s="387">
        <v>0</v>
      </c>
      <c r="M72" s="387">
        <v>0</v>
      </c>
      <c r="N72" s="448">
        <v>13075166</v>
      </c>
      <c r="O72" s="54"/>
    </row>
    <row r="73" spans="1:15" ht="14.5" x14ac:dyDescent="0.35">
      <c r="A73" s="154" t="s">
        <v>41</v>
      </c>
      <c r="B73" s="387">
        <f t="shared" si="2"/>
        <v>49280478.390000001</v>
      </c>
      <c r="C73" s="387">
        <v>8972757.4699999988</v>
      </c>
      <c r="D73" s="387">
        <v>9831019</v>
      </c>
      <c r="E73" s="387">
        <v>6821523</v>
      </c>
      <c r="F73" s="387">
        <v>23655178.920000002</v>
      </c>
      <c r="G73" s="387">
        <v>0</v>
      </c>
      <c r="H73" s="387">
        <v>0</v>
      </c>
      <c r="I73" s="387">
        <v>0</v>
      </c>
      <c r="J73" s="387">
        <v>0</v>
      </c>
      <c r="K73" s="387">
        <v>0</v>
      </c>
      <c r="L73" s="387">
        <v>0</v>
      </c>
      <c r="M73" s="387">
        <v>0</v>
      </c>
      <c r="N73" s="448">
        <v>0</v>
      </c>
      <c r="O73" s="54"/>
    </row>
    <row r="74" spans="1:15" ht="14.5" x14ac:dyDescent="0.35">
      <c r="A74" s="154" t="s">
        <v>145</v>
      </c>
      <c r="B74" s="387">
        <f t="shared" si="2"/>
        <v>23486384.140000001</v>
      </c>
      <c r="C74" s="387">
        <v>6037059.1200000001</v>
      </c>
      <c r="D74" s="387">
        <v>0</v>
      </c>
      <c r="E74" s="387">
        <v>10587659.5</v>
      </c>
      <c r="F74" s="387">
        <v>6861665.5199999996</v>
      </c>
      <c r="G74" s="387">
        <v>0</v>
      </c>
      <c r="H74" s="387">
        <v>0</v>
      </c>
      <c r="I74" s="387">
        <v>0</v>
      </c>
      <c r="J74" s="387">
        <v>0</v>
      </c>
      <c r="K74" s="387">
        <v>0</v>
      </c>
      <c r="L74" s="387">
        <v>0</v>
      </c>
      <c r="M74" s="387">
        <v>0</v>
      </c>
      <c r="N74" s="448">
        <v>0</v>
      </c>
      <c r="O74" s="54"/>
    </row>
    <row r="75" spans="1:15" ht="15" thickBot="1" x14ac:dyDescent="0.4">
      <c r="A75" s="154" t="s">
        <v>165</v>
      </c>
      <c r="B75" s="390">
        <f t="shared" si="2"/>
        <v>3400072.71</v>
      </c>
      <c r="C75" s="390">
        <v>2029040.17</v>
      </c>
      <c r="D75" s="390">
        <v>1371032.54</v>
      </c>
      <c r="E75" s="390">
        <v>0</v>
      </c>
      <c r="F75" s="390">
        <v>0</v>
      </c>
      <c r="G75" s="390">
        <v>0</v>
      </c>
      <c r="H75" s="390">
        <v>0</v>
      </c>
      <c r="I75" s="390">
        <v>0</v>
      </c>
      <c r="J75" s="390">
        <v>0</v>
      </c>
      <c r="K75" s="390">
        <v>0</v>
      </c>
      <c r="L75" s="390">
        <v>0</v>
      </c>
      <c r="M75" s="390">
        <v>0</v>
      </c>
      <c r="N75" s="449">
        <v>0</v>
      </c>
      <c r="O75" s="54"/>
    </row>
    <row r="76" spans="1:15" ht="14" thickTop="1" x14ac:dyDescent="0.3">
      <c r="A76" s="45" t="s">
        <v>1</v>
      </c>
      <c r="B76" s="20">
        <f>SUM(B56:B75)</f>
        <v>7969236182.920002</v>
      </c>
      <c r="C76" s="20">
        <f>SUM(C56:C75)</f>
        <v>1925793686.9200006</v>
      </c>
      <c r="D76" s="20">
        <f t="shared" ref="D76:N76" si="3">SUM(D56:D75)</f>
        <v>1223436320.1700001</v>
      </c>
      <c r="E76" s="20">
        <f t="shared" si="3"/>
        <v>1656262986.8099999</v>
      </c>
      <c r="F76" s="20">
        <f t="shared" si="3"/>
        <v>1974251391.5999999</v>
      </c>
      <c r="G76" s="20">
        <f t="shared" si="3"/>
        <v>963997924.38</v>
      </c>
      <c r="H76" s="20">
        <f t="shared" si="3"/>
        <v>83126172.969999999</v>
      </c>
      <c r="I76" s="20">
        <f t="shared" si="3"/>
        <v>28664096.280000001</v>
      </c>
      <c r="J76" s="20">
        <f t="shared" si="3"/>
        <v>9143319.4700000007</v>
      </c>
      <c r="K76" s="20">
        <f t="shared" si="3"/>
        <v>9274035.7000000011</v>
      </c>
      <c r="L76" s="20">
        <f t="shared" si="3"/>
        <v>21594354.949999999</v>
      </c>
      <c r="M76" s="20">
        <f t="shared" si="3"/>
        <v>3498129.7</v>
      </c>
      <c r="N76" s="20">
        <f t="shared" si="3"/>
        <v>70193763.969999999</v>
      </c>
      <c r="O76" s="54"/>
    </row>
    <row r="77" spans="1:15" x14ac:dyDescent="0.3">
      <c r="A77" s="37"/>
      <c r="B77" s="38"/>
      <c r="C77" s="38"/>
      <c r="D77" s="38"/>
      <c r="E77" s="38"/>
      <c r="F77" s="38"/>
      <c r="G77" s="38"/>
      <c r="H77" s="38"/>
      <c r="I77" s="392"/>
      <c r="J77" s="392"/>
      <c r="K77" s="392"/>
      <c r="L77" s="392"/>
      <c r="M77" s="392"/>
      <c r="N77" s="392"/>
      <c r="O77" s="54"/>
    </row>
    <row r="78" spans="1:15" x14ac:dyDescent="0.3">
      <c r="A78" s="37"/>
      <c r="B78" s="38"/>
      <c r="C78" s="38"/>
      <c r="D78" s="38"/>
      <c r="E78" s="38"/>
      <c r="F78" s="38"/>
      <c r="G78" s="38"/>
      <c r="H78" s="38"/>
      <c r="I78" s="392"/>
      <c r="J78" s="392"/>
      <c r="K78" s="392"/>
      <c r="L78" s="392"/>
      <c r="M78" s="392"/>
      <c r="N78" s="392"/>
      <c r="O78" s="54"/>
    </row>
    <row r="79" spans="1:15" x14ac:dyDescent="0.3">
      <c r="O79" s="54"/>
    </row>
    <row r="80" spans="1:15" x14ac:dyDescent="0.3">
      <c r="A80" s="187" t="s">
        <v>226</v>
      </c>
      <c r="B80" s="187"/>
      <c r="C80" s="187"/>
      <c r="D80" s="187"/>
      <c r="E80" s="187"/>
      <c r="F80" s="187"/>
      <c r="G80" s="187"/>
      <c r="H80" s="187"/>
      <c r="I80" s="187"/>
      <c r="J80" s="187"/>
      <c r="K80" s="187"/>
      <c r="L80" s="187"/>
      <c r="M80" s="187"/>
      <c r="N80" s="187"/>
      <c r="O80" s="5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c r="O81" s="185"/>
    </row>
    <row r="82" spans="1:16" x14ac:dyDescent="0.3">
      <c r="A82" s="12"/>
      <c r="B82" s="11"/>
      <c r="C82" s="13"/>
      <c r="D82" s="13"/>
      <c r="E82" s="17"/>
      <c r="F82" s="13"/>
      <c r="G82" s="13"/>
      <c r="H82" s="13"/>
      <c r="I82" s="13"/>
      <c r="J82" s="13"/>
      <c r="K82" s="13"/>
      <c r="L82" s="13"/>
      <c r="M82" s="13"/>
      <c r="N82" s="13"/>
      <c r="O82" s="54"/>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c r="O83" s="54"/>
    </row>
    <row r="84" spans="1:16" x14ac:dyDescent="0.3">
      <c r="A84" s="41" t="s">
        <v>182</v>
      </c>
      <c r="B84" s="437">
        <f>SUM(C84:N84)</f>
        <v>7963248182.9200001</v>
      </c>
      <c r="C84" s="394">
        <f>+C100-C85-C86-C87</f>
        <v>1925793686.9200006</v>
      </c>
      <c r="D84" s="394">
        <f t="shared" ref="D84:N84" si="4">+D100-D85-D86-D87</f>
        <v>1223436320.1699998</v>
      </c>
      <c r="E84" s="394">
        <f t="shared" si="4"/>
        <v>1650274986.8099997</v>
      </c>
      <c r="F84" s="394">
        <f t="shared" si="4"/>
        <v>1974251391.5999999</v>
      </c>
      <c r="G84" s="394">
        <f t="shared" si="4"/>
        <v>963997924.38</v>
      </c>
      <c r="H84" s="394">
        <f t="shared" si="4"/>
        <v>83126172.969999999</v>
      </c>
      <c r="I84" s="394">
        <f t="shared" si="4"/>
        <v>28664096.279999997</v>
      </c>
      <c r="J84" s="394">
        <f t="shared" si="4"/>
        <v>9143319.4700000007</v>
      </c>
      <c r="K84" s="394">
        <f t="shared" si="4"/>
        <v>9274035.7000000011</v>
      </c>
      <c r="L84" s="394">
        <f t="shared" si="4"/>
        <v>21594354.949999999</v>
      </c>
      <c r="M84" s="394">
        <f t="shared" si="4"/>
        <v>3498129.7</v>
      </c>
      <c r="N84" s="394">
        <f t="shared" si="4"/>
        <v>70193763.969999999</v>
      </c>
      <c r="O84" s="54"/>
    </row>
    <row r="85" spans="1:16" x14ac:dyDescent="0.3">
      <c r="A85" s="49" t="s">
        <v>183</v>
      </c>
      <c r="B85" s="397">
        <f t="shared" ref="B85:B87" si="5">SUM(C85:N85)</f>
        <v>5988000</v>
      </c>
      <c r="C85" s="395"/>
      <c r="D85" s="395">
        <v>0</v>
      </c>
      <c r="E85" s="395">
        <f>4287000+1701000</f>
        <v>5988000</v>
      </c>
      <c r="F85" s="395"/>
      <c r="G85" s="395"/>
      <c r="H85" s="395"/>
      <c r="I85" s="398"/>
      <c r="J85" s="398"/>
      <c r="K85" s="398"/>
      <c r="L85" s="398"/>
      <c r="M85" s="398"/>
      <c r="N85" s="398"/>
      <c r="O85" s="399"/>
    </row>
    <row r="86" spans="1:16" x14ac:dyDescent="0.3">
      <c r="A86" s="42" t="s">
        <v>184</v>
      </c>
      <c r="B86" s="397">
        <f t="shared" si="5"/>
        <v>0</v>
      </c>
      <c r="C86" s="400"/>
      <c r="D86" s="400"/>
      <c r="E86" s="401"/>
      <c r="F86" s="395"/>
      <c r="G86" s="395"/>
      <c r="H86" s="395"/>
      <c r="I86" s="398"/>
      <c r="J86" s="398"/>
      <c r="K86" s="398"/>
      <c r="L86" s="398"/>
      <c r="M86" s="398"/>
      <c r="N86" s="402"/>
      <c r="O86" s="54"/>
    </row>
    <row r="87" spans="1:16" ht="14" thickBot="1" x14ac:dyDescent="0.35">
      <c r="A87" s="42" t="s">
        <v>185</v>
      </c>
      <c r="B87" s="397">
        <f t="shared" si="5"/>
        <v>0</v>
      </c>
      <c r="C87" s="400"/>
      <c r="D87" s="400"/>
      <c r="E87" s="401"/>
      <c r="F87" s="395"/>
      <c r="G87" s="395"/>
      <c r="H87" s="395"/>
      <c r="I87" s="398"/>
      <c r="J87" s="398"/>
      <c r="K87" s="398"/>
      <c r="L87" s="398"/>
      <c r="M87" s="398"/>
      <c r="N87" s="402"/>
      <c r="O87" s="54"/>
    </row>
    <row r="88" spans="1:16" ht="14" thickTop="1" x14ac:dyDescent="0.3">
      <c r="A88" s="44" t="s">
        <v>1</v>
      </c>
      <c r="B88" s="22">
        <f t="shared" ref="B88:N88" si="6">SUM(B84:B87)</f>
        <v>7969236182.9200001</v>
      </c>
      <c r="C88" s="22">
        <f t="shared" si="6"/>
        <v>1925793686.9200006</v>
      </c>
      <c r="D88" s="22">
        <f t="shared" si="6"/>
        <v>1223436320.1699998</v>
      </c>
      <c r="E88" s="22">
        <f t="shared" si="6"/>
        <v>1656262986.8099997</v>
      </c>
      <c r="F88" s="22">
        <f t="shared" si="6"/>
        <v>1974251391.5999999</v>
      </c>
      <c r="G88" s="22">
        <f t="shared" si="6"/>
        <v>963997924.38</v>
      </c>
      <c r="H88" s="22">
        <f t="shared" si="6"/>
        <v>83126172.969999999</v>
      </c>
      <c r="I88" s="22">
        <f t="shared" si="6"/>
        <v>28664096.279999997</v>
      </c>
      <c r="J88" s="22">
        <f t="shared" si="6"/>
        <v>9143319.4700000007</v>
      </c>
      <c r="K88" s="22">
        <f t="shared" si="6"/>
        <v>9274035.7000000011</v>
      </c>
      <c r="L88" s="22">
        <f t="shared" si="6"/>
        <v>21594354.949999999</v>
      </c>
      <c r="M88" s="22">
        <f t="shared" si="6"/>
        <v>3498129.7</v>
      </c>
      <c r="N88" s="23">
        <f t="shared" si="6"/>
        <v>70193763.969999999</v>
      </c>
      <c r="O88" s="54"/>
    </row>
    <row r="89" spans="1:16" x14ac:dyDescent="0.3">
      <c r="A89" s="26"/>
      <c r="B89" s="40"/>
      <c r="C89" s="40"/>
      <c r="D89" s="40"/>
      <c r="E89" s="40"/>
      <c r="F89" s="40"/>
      <c r="G89" s="40"/>
      <c r="H89" s="40"/>
      <c r="I89" s="40"/>
      <c r="J89" s="40"/>
      <c r="K89" s="40"/>
      <c r="L89" s="40"/>
      <c r="M89" s="40"/>
      <c r="N89" s="40"/>
      <c r="O89" s="54"/>
    </row>
    <row r="90" spans="1:16" x14ac:dyDescent="0.3">
      <c r="O90" s="54"/>
    </row>
    <row r="91" spans="1:16" x14ac:dyDescent="0.3">
      <c r="A91" s="187" t="s">
        <v>227</v>
      </c>
      <c r="B91" s="187"/>
      <c r="C91" s="187"/>
      <c r="D91" s="187"/>
      <c r="E91" s="187"/>
      <c r="F91" s="187"/>
      <c r="G91" s="187"/>
      <c r="H91" s="187"/>
      <c r="I91" s="187"/>
      <c r="J91" s="187"/>
      <c r="K91" s="187"/>
      <c r="L91" s="187"/>
      <c r="M91" s="187"/>
      <c r="N91" s="187"/>
      <c r="O91" s="5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c r="O92" s="54"/>
    </row>
    <row r="93" spans="1:16" x14ac:dyDescent="0.3">
      <c r="A93" s="46"/>
      <c r="B93" s="11"/>
      <c r="C93" s="13"/>
      <c r="D93" s="13"/>
      <c r="E93" s="17"/>
      <c r="F93" s="13"/>
      <c r="G93" s="13"/>
      <c r="H93" s="13"/>
      <c r="I93" s="13"/>
      <c r="J93" s="13"/>
      <c r="K93" s="13"/>
      <c r="L93" s="13"/>
      <c r="M93" s="13"/>
      <c r="N93" s="13"/>
      <c r="O93" s="185"/>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c r="O94" s="54"/>
    </row>
    <row r="95" spans="1:16" x14ac:dyDescent="0.3">
      <c r="A95" s="42" t="s">
        <v>62</v>
      </c>
      <c r="B95" s="393">
        <f>SUM(C95:N95)</f>
        <v>856205816.73000002</v>
      </c>
      <c r="C95" s="403">
        <v>135172798.50999996</v>
      </c>
      <c r="D95" s="404">
        <v>104966759.97999999</v>
      </c>
      <c r="E95" s="404">
        <v>176635425.72000003</v>
      </c>
      <c r="F95" s="404">
        <v>223732797.51999998</v>
      </c>
      <c r="G95" s="404">
        <v>201978277</v>
      </c>
      <c r="H95" s="405">
        <v>6372655</v>
      </c>
      <c r="I95" s="406">
        <v>0</v>
      </c>
      <c r="J95" s="397">
        <v>0</v>
      </c>
      <c r="K95" s="393">
        <v>0</v>
      </c>
      <c r="L95" s="407">
        <v>3082247</v>
      </c>
      <c r="M95" s="407">
        <v>0</v>
      </c>
      <c r="N95" s="393">
        <v>4264856</v>
      </c>
      <c r="O95" s="54"/>
    </row>
    <row r="96" spans="1:16" x14ac:dyDescent="0.3">
      <c r="A96" s="42" t="s">
        <v>63</v>
      </c>
      <c r="B96" s="397">
        <f t="shared" ref="B96:B99" si="7">SUM(C96:N96)</f>
        <v>1576700107.3199999</v>
      </c>
      <c r="C96" s="408">
        <v>222086107.23999998</v>
      </c>
      <c r="D96" s="405">
        <v>201972726.24000001</v>
      </c>
      <c r="E96" s="405">
        <v>355395502.31999999</v>
      </c>
      <c r="F96" s="405">
        <v>514207498.53999996</v>
      </c>
      <c r="G96" s="405">
        <v>224430038</v>
      </c>
      <c r="H96" s="405">
        <v>10757967.33</v>
      </c>
      <c r="I96" s="406">
        <v>6561227.7300000004</v>
      </c>
      <c r="J96" s="397">
        <v>1403486</v>
      </c>
      <c r="K96" s="397">
        <v>0</v>
      </c>
      <c r="L96" s="406">
        <v>12295474.529999999</v>
      </c>
      <c r="M96" s="406">
        <v>0</v>
      </c>
      <c r="N96" s="397">
        <v>27590079.390000001</v>
      </c>
      <c r="O96" s="54"/>
    </row>
    <row r="97" spans="1:15" x14ac:dyDescent="0.3">
      <c r="A97" s="42" t="s">
        <v>64</v>
      </c>
      <c r="B97" s="397">
        <f t="shared" si="7"/>
        <v>1576969571.9300001</v>
      </c>
      <c r="C97" s="408">
        <v>278449518.91000003</v>
      </c>
      <c r="D97" s="405">
        <v>236191309.73000002</v>
      </c>
      <c r="E97" s="405">
        <v>350547622.23000002</v>
      </c>
      <c r="F97" s="405">
        <v>451235398.70999992</v>
      </c>
      <c r="G97" s="405">
        <v>226187721.74000001</v>
      </c>
      <c r="H97" s="405">
        <v>10860363.9</v>
      </c>
      <c r="I97" s="406">
        <v>0</v>
      </c>
      <c r="J97" s="397">
        <v>1489833</v>
      </c>
      <c r="K97" s="397">
        <v>0</v>
      </c>
      <c r="L97" s="406">
        <v>0</v>
      </c>
      <c r="M97" s="406">
        <v>0</v>
      </c>
      <c r="N97" s="397">
        <v>22007803.710000001</v>
      </c>
      <c r="O97" s="54"/>
    </row>
    <row r="98" spans="1:15" x14ac:dyDescent="0.3">
      <c r="A98" s="42" t="s">
        <v>65</v>
      </c>
      <c r="B98" s="397">
        <f t="shared" si="7"/>
        <v>1885950218.2499998</v>
      </c>
      <c r="C98" s="408">
        <v>482265989.37000006</v>
      </c>
      <c r="D98" s="405">
        <v>305026021.80999994</v>
      </c>
      <c r="E98" s="405">
        <v>377515514.37999994</v>
      </c>
      <c r="F98" s="405">
        <v>458019273.50999987</v>
      </c>
      <c r="G98" s="405">
        <v>214024767.95999998</v>
      </c>
      <c r="H98" s="405">
        <v>31684190.910000004</v>
      </c>
      <c r="I98" s="406">
        <v>2912995</v>
      </c>
      <c r="J98" s="397">
        <v>3027761</v>
      </c>
      <c r="K98" s="397">
        <v>2245684</v>
      </c>
      <c r="L98" s="406">
        <v>3209677.31</v>
      </c>
      <c r="M98" s="406">
        <v>0</v>
      </c>
      <c r="N98" s="397">
        <v>6018343</v>
      </c>
      <c r="O98" s="54"/>
    </row>
    <row r="99" spans="1:15" ht="14" thickBot="1" x14ac:dyDescent="0.35">
      <c r="A99" s="43" t="s">
        <v>66</v>
      </c>
      <c r="B99" s="409">
        <f t="shared" si="7"/>
        <v>2073410468.6900003</v>
      </c>
      <c r="C99" s="410">
        <v>807819272.89000058</v>
      </c>
      <c r="D99" s="410">
        <v>375279502.40999985</v>
      </c>
      <c r="E99" s="410">
        <v>396168922.15999991</v>
      </c>
      <c r="F99" s="410">
        <v>327056423.32000011</v>
      </c>
      <c r="G99" s="410">
        <v>97377119.679999977</v>
      </c>
      <c r="H99" s="410">
        <v>23450995.829999998</v>
      </c>
      <c r="I99" s="411">
        <v>19189873.549999997</v>
      </c>
      <c r="J99" s="409">
        <v>3222239.47</v>
      </c>
      <c r="K99" s="409">
        <v>7028351.7000000011</v>
      </c>
      <c r="L99" s="411">
        <v>3006956.11</v>
      </c>
      <c r="M99" s="411">
        <v>3498129.7</v>
      </c>
      <c r="N99" s="409">
        <v>10312681.870000001</v>
      </c>
      <c r="O99" s="54"/>
    </row>
    <row r="100" spans="1:15" ht="14" thickTop="1" x14ac:dyDescent="0.3">
      <c r="A100" s="42" t="s">
        <v>1</v>
      </c>
      <c r="B100" s="412">
        <f>SUM(B95:B99)</f>
        <v>7969236182.920001</v>
      </c>
      <c r="C100" s="412">
        <f>SUM(C95:C99)</f>
        <v>1925793686.9200006</v>
      </c>
      <c r="D100" s="412">
        <f t="shared" ref="D100:N100" si="8">SUM(D95:D99)</f>
        <v>1223436320.1699998</v>
      </c>
      <c r="E100" s="412">
        <f t="shared" si="8"/>
        <v>1656262986.8099997</v>
      </c>
      <c r="F100" s="412">
        <f t="shared" si="8"/>
        <v>1974251391.5999999</v>
      </c>
      <c r="G100" s="412">
        <f t="shared" si="8"/>
        <v>963997924.38</v>
      </c>
      <c r="H100" s="412">
        <f t="shared" si="8"/>
        <v>83126172.969999999</v>
      </c>
      <c r="I100" s="412">
        <f t="shared" si="8"/>
        <v>28664096.279999997</v>
      </c>
      <c r="J100" s="412">
        <f t="shared" si="8"/>
        <v>9143319.4700000007</v>
      </c>
      <c r="K100" s="412">
        <f t="shared" si="8"/>
        <v>9274035.7000000011</v>
      </c>
      <c r="L100" s="412">
        <f t="shared" si="8"/>
        <v>21594354.949999999</v>
      </c>
      <c r="M100" s="412">
        <f t="shared" si="8"/>
        <v>3498129.7</v>
      </c>
      <c r="N100" s="412">
        <f t="shared" si="8"/>
        <v>70193763.969999999</v>
      </c>
      <c r="O100" s="399"/>
    </row>
    <row r="101" spans="1:15" x14ac:dyDescent="0.3">
      <c r="A101" s="26"/>
      <c r="B101" s="413"/>
      <c r="C101" s="413"/>
      <c r="D101" s="413"/>
      <c r="E101" s="413"/>
      <c r="F101" s="413"/>
      <c r="G101" s="413"/>
      <c r="H101" s="413"/>
      <c r="I101" s="413"/>
      <c r="J101" s="413"/>
      <c r="K101" s="413"/>
      <c r="L101" s="413"/>
      <c r="M101" s="413"/>
      <c r="N101" s="413"/>
      <c r="O101" s="55"/>
    </row>
    <row r="102" spans="1:15" x14ac:dyDescent="0.3">
      <c r="A102" s="67"/>
      <c r="O102" s="54"/>
    </row>
    <row r="103" spans="1:15" x14ac:dyDescent="0.3">
      <c r="A103" s="187" t="s">
        <v>228</v>
      </c>
      <c r="B103" s="187"/>
      <c r="C103" s="187"/>
      <c r="D103" s="187"/>
      <c r="E103" s="187"/>
      <c r="F103" s="187"/>
      <c r="G103" s="187"/>
      <c r="H103" s="187"/>
      <c r="I103" s="187"/>
      <c r="J103" s="187"/>
      <c r="K103" s="187"/>
      <c r="L103" s="187"/>
      <c r="M103" s="187"/>
      <c r="N103" s="187"/>
      <c r="O103" s="54"/>
    </row>
    <row r="104" spans="1:15" x14ac:dyDescent="0.3">
      <c r="A104" s="108"/>
      <c r="B104" s="110"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c r="O104" s="54"/>
    </row>
    <row r="105" spans="1:15" x14ac:dyDescent="0.3">
      <c r="A105" s="46"/>
      <c r="B105" s="13"/>
      <c r="C105" s="13"/>
      <c r="D105" s="13"/>
      <c r="E105" s="17"/>
      <c r="F105" s="13"/>
      <c r="G105" s="13"/>
      <c r="H105" s="13"/>
      <c r="I105" s="13"/>
      <c r="J105" s="13"/>
      <c r="K105" s="13"/>
      <c r="L105" s="13"/>
      <c r="M105" s="13"/>
      <c r="N105" s="13"/>
      <c r="O105" s="54"/>
    </row>
    <row r="106" spans="1:15" ht="27" x14ac:dyDescent="0.3">
      <c r="A106" s="47"/>
      <c r="B106" s="15" t="s">
        <v>4</v>
      </c>
      <c r="C106" s="15" t="s">
        <v>4</v>
      </c>
      <c r="D106" s="15" t="s">
        <v>4</v>
      </c>
      <c r="E106" s="14" t="s">
        <v>4</v>
      </c>
      <c r="F106" s="15" t="s">
        <v>4</v>
      </c>
      <c r="G106" s="15" t="s">
        <v>4</v>
      </c>
      <c r="H106" s="15" t="s">
        <v>4</v>
      </c>
      <c r="I106" s="15" t="s">
        <v>4</v>
      </c>
      <c r="J106" s="15" t="s">
        <v>4</v>
      </c>
      <c r="K106" s="15" t="s">
        <v>4</v>
      </c>
      <c r="L106" s="15" t="s">
        <v>4</v>
      </c>
      <c r="M106" s="15" t="s">
        <v>4</v>
      </c>
      <c r="N106" s="15" t="s">
        <v>4</v>
      </c>
      <c r="O106" s="54"/>
    </row>
    <row r="107" spans="1:15" ht="14.5" x14ac:dyDescent="0.35">
      <c r="A107" s="42" t="s">
        <v>201</v>
      </c>
      <c r="B107" s="414">
        <f>SUM(C107:N107)</f>
        <v>7946403185.3199987</v>
      </c>
      <c r="C107" s="414">
        <v>1910929118.319999</v>
      </c>
      <c r="D107" s="387">
        <v>1220918661.1699994</v>
      </c>
      <c r="E107" s="414">
        <v>1653322986.8100004</v>
      </c>
      <c r="F107" s="387">
        <v>1971740621.5999994</v>
      </c>
      <c r="G107" s="414">
        <v>963997924.38000011</v>
      </c>
      <c r="H107" s="387">
        <v>83126172.969999984</v>
      </c>
      <c r="I107" s="414">
        <v>28664096.280000001</v>
      </c>
      <c r="J107" s="387">
        <v>9143319.4700000007</v>
      </c>
      <c r="K107" s="414">
        <v>9274035.7000000011</v>
      </c>
      <c r="L107" s="387">
        <v>21594354.949999999</v>
      </c>
      <c r="M107" s="414">
        <v>3498129.7</v>
      </c>
      <c r="N107" s="387">
        <v>70193763.969999999</v>
      </c>
      <c r="O107" s="54">
        <v>2771937.8400000003</v>
      </c>
    </row>
    <row r="108" spans="1:15" ht="14.5" x14ac:dyDescent="0.35">
      <c r="A108" s="42" t="s">
        <v>202</v>
      </c>
      <c r="B108" s="415">
        <f t="shared" ref="B108:B109" si="9">SUM(C108:N108)</f>
        <v>18647573.600000001</v>
      </c>
      <c r="C108" s="415">
        <v>10679144.6</v>
      </c>
      <c r="D108" s="387">
        <v>2517659</v>
      </c>
      <c r="E108" s="415">
        <v>2940000</v>
      </c>
      <c r="F108" s="387">
        <v>2510770</v>
      </c>
      <c r="G108" s="415">
        <v>0</v>
      </c>
      <c r="H108" s="387">
        <v>0</v>
      </c>
      <c r="I108" s="415">
        <v>0</v>
      </c>
      <c r="J108" s="387">
        <v>0</v>
      </c>
      <c r="K108" s="415">
        <v>0</v>
      </c>
      <c r="L108" s="387">
        <v>0</v>
      </c>
      <c r="M108" s="415">
        <v>0</v>
      </c>
      <c r="N108" s="387">
        <v>0</v>
      </c>
      <c r="O108" s="54">
        <v>29347</v>
      </c>
    </row>
    <row r="109" spans="1:15" x14ac:dyDescent="0.3">
      <c r="A109" s="42" t="s">
        <v>58</v>
      </c>
      <c r="B109" s="416">
        <f t="shared" si="9"/>
        <v>4185424</v>
      </c>
      <c r="C109" s="416">
        <v>4185424</v>
      </c>
      <c r="D109" s="417">
        <v>0</v>
      </c>
      <c r="E109" s="416">
        <v>0</v>
      </c>
      <c r="F109" s="417">
        <v>0</v>
      </c>
      <c r="G109" s="416">
        <v>0</v>
      </c>
      <c r="H109" s="418">
        <v>0</v>
      </c>
      <c r="I109" s="419">
        <v>0</v>
      </c>
      <c r="J109" s="420">
        <v>0</v>
      </c>
      <c r="K109" s="419">
        <v>0</v>
      </c>
      <c r="L109" s="420">
        <v>0</v>
      </c>
      <c r="M109" s="419">
        <v>0</v>
      </c>
      <c r="N109" s="421">
        <v>0</v>
      </c>
      <c r="O109" s="54"/>
    </row>
    <row r="110" spans="1:15" ht="14" thickBot="1" x14ac:dyDescent="0.35">
      <c r="A110" s="43" t="s">
        <v>203</v>
      </c>
      <c r="B110" s="422">
        <v>0</v>
      </c>
      <c r="C110" s="422">
        <v>0</v>
      </c>
      <c r="D110" s="417">
        <v>0</v>
      </c>
      <c r="E110" s="422">
        <v>0</v>
      </c>
      <c r="F110" s="417">
        <v>0</v>
      </c>
      <c r="G110" s="422">
        <v>0</v>
      </c>
      <c r="H110" s="418">
        <v>0</v>
      </c>
      <c r="I110" s="423">
        <v>0</v>
      </c>
      <c r="J110" s="420">
        <v>0</v>
      </c>
      <c r="K110" s="423">
        <v>0</v>
      </c>
      <c r="L110" s="420">
        <v>0</v>
      </c>
      <c r="M110" s="423">
        <v>0</v>
      </c>
      <c r="N110" s="424">
        <v>0</v>
      </c>
      <c r="O110" s="54"/>
    </row>
    <row r="111" spans="1:15" ht="14" thickTop="1" x14ac:dyDescent="0.3">
      <c r="A111" s="42" t="s">
        <v>1</v>
      </c>
      <c r="B111" s="97">
        <f>SUM(B107:B110)</f>
        <v>7969236182.9199991</v>
      </c>
      <c r="C111" s="97">
        <f>SUM(C107:C110)</f>
        <v>1925793686.9199989</v>
      </c>
      <c r="D111" s="97">
        <f t="shared" ref="D111:N111" si="10">SUM(D107:D110)</f>
        <v>1223436320.1699994</v>
      </c>
      <c r="E111" s="97">
        <f t="shared" si="10"/>
        <v>1656262986.8100004</v>
      </c>
      <c r="F111" s="97">
        <f t="shared" si="10"/>
        <v>1974251391.5999994</v>
      </c>
      <c r="G111" s="97">
        <f t="shared" si="10"/>
        <v>963997924.38000011</v>
      </c>
      <c r="H111" s="97">
        <f t="shared" si="10"/>
        <v>83126172.969999984</v>
      </c>
      <c r="I111" s="97">
        <f t="shared" si="10"/>
        <v>28664096.280000001</v>
      </c>
      <c r="J111" s="97">
        <f t="shared" si="10"/>
        <v>9143319.4700000007</v>
      </c>
      <c r="K111" s="97">
        <f t="shared" si="10"/>
        <v>9274035.7000000011</v>
      </c>
      <c r="L111" s="97">
        <f t="shared" si="10"/>
        <v>21594354.949999999</v>
      </c>
      <c r="M111" s="97">
        <f t="shared" si="10"/>
        <v>3498129.7</v>
      </c>
      <c r="N111" s="97">
        <f t="shared" si="10"/>
        <v>70193763.969999999</v>
      </c>
      <c r="O111" s="54"/>
    </row>
    <row r="112" spans="1:15" x14ac:dyDescent="0.3">
      <c r="A112" s="26"/>
      <c r="B112" s="99"/>
      <c r="C112" s="99"/>
      <c r="D112" s="99"/>
      <c r="E112" s="99"/>
      <c r="F112" s="99"/>
      <c r="G112" s="99"/>
      <c r="H112" s="99"/>
      <c r="I112" s="99"/>
      <c r="J112" s="99"/>
      <c r="K112" s="99"/>
      <c r="L112" s="99"/>
      <c r="M112" s="99"/>
      <c r="N112" s="99"/>
    </row>
    <row r="114" spans="1:15" x14ac:dyDescent="0.3">
      <c r="A114" s="187" t="s">
        <v>229</v>
      </c>
      <c r="B114" s="187"/>
      <c r="C114" s="187"/>
      <c r="D114" s="187"/>
      <c r="E114" s="187"/>
      <c r="F114" s="187"/>
      <c r="G114" s="187"/>
      <c r="H114" s="187"/>
      <c r="I114" s="187"/>
      <c r="J114" s="187"/>
      <c r="K114" s="187"/>
      <c r="L114" s="187"/>
      <c r="M114" s="187"/>
      <c r="N114" s="187"/>
      <c r="O114" s="5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c r="O115" s="54"/>
    </row>
    <row r="116" spans="1:15" x14ac:dyDescent="0.3">
      <c r="A116" s="48"/>
      <c r="B116" s="11"/>
      <c r="C116" s="13"/>
      <c r="D116" s="13"/>
      <c r="E116" s="17"/>
      <c r="F116" s="13"/>
      <c r="G116" s="13"/>
      <c r="H116" s="13"/>
      <c r="I116" s="13"/>
      <c r="J116" s="13"/>
      <c r="K116" s="13"/>
      <c r="L116" s="13"/>
      <c r="M116" s="13"/>
      <c r="N116" s="13"/>
      <c r="O116" s="54"/>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c r="O117" s="54"/>
    </row>
    <row r="118" spans="1:15" x14ac:dyDescent="0.3">
      <c r="A118" s="42" t="s">
        <v>57</v>
      </c>
      <c r="B118" s="394">
        <f>SUM(C118:N118)</f>
        <v>7969236182.9199982</v>
      </c>
      <c r="C118" s="394">
        <f>+C111</f>
        <v>1925793686.9199989</v>
      </c>
      <c r="D118" s="394">
        <f t="shared" ref="D118:N118" si="11">+D111</f>
        <v>1223436320.1699994</v>
      </c>
      <c r="E118" s="394">
        <f t="shared" si="11"/>
        <v>1656262986.8100004</v>
      </c>
      <c r="F118" s="394">
        <f t="shared" si="11"/>
        <v>1974251391.5999994</v>
      </c>
      <c r="G118" s="394">
        <f t="shared" si="11"/>
        <v>963997924.38000011</v>
      </c>
      <c r="H118" s="394">
        <f t="shared" si="11"/>
        <v>83126172.969999984</v>
      </c>
      <c r="I118" s="394">
        <f t="shared" si="11"/>
        <v>28664096.280000001</v>
      </c>
      <c r="J118" s="394">
        <f t="shared" si="11"/>
        <v>9143319.4700000007</v>
      </c>
      <c r="K118" s="394">
        <f t="shared" si="11"/>
        <v>9274035.7000000011</v>
      </c>
      <c r="L118" s="394">
        <f t="shared" si="11"/>
        <v>21594354.949999999</v>
      </c>
      <c r="M118" s="394">
        <f t="shared" si="11"/>
        <v>3498129.7</v>
      </c>
      <c r="N118" s="394">
        <f t="shared" si="11"/>
        <v>70193763.969999999</v>
      </c>
      <c r="O118" s="399"/>
    </row>
    <row r="119" spans="1:15" x14ac:dyDescent="0.3">
      <c r="A119" s="42" t="s">
        <v>67</v>
      </c>
      <c r="B119" s="100"/>
      <c r="C119" s="417"/>
      <c r="D119" s="417"/>
      <c r="E119" s="417"/>
      <c r="F119" s="417"/>
      <c r="G119" s="417"/>
      <c r="H119" s="417"/>
      <c r="I119" s="425"/>
      <c r="J119" s="425"/>
      <c r="K119" s="425"/>
      <c r="L119" s="425"/>
      <c r="M119" s="425"/>
      <c r="N119" s="425"/>
      <c r="O119" s="399"/>
    </row>
    <row r="120" spans="1:15" x14ac:dyDescent="0.3">
      <c r="A120" s="42" t="s">
        <v>68</v>
      </c>
      <c r="B120" s="100"/>
      <c r="C120" s="417"/>
      <c r="D120" s="417"/>
      <c r="E120" s="417"/>
      <c r="F120" s="417"/>
      <c r="G120" s="417"/>
      <c r="H120" s="417"/>
      <c r="I120" s="425"/>
      <c r="J120" s="425"/>
      <c r="K120" s="425"/>
      <c r="L120" s="425"/>
      <c r="M120" s="425"/>
      <c r="N120" s="425"/>
      <c r="O120" s="399"/>
    </row>
    <row r="121" spans="1:15" ht="14" thickBot="1" x14ac:dyDescent="0.35">
      <c r="A121" s="43" t="s">
        <v>69</v>
      </c>
      <c r="B121" s="93"/>
      <c r="C121" s="426"/>
      <c r="D121" s="426"/>
      <c r="E121" s="426"/>
      <c r="F121" s="426"/>
      <c r="G121" s="426"/>
      <c r="H121" s="426"/>
      <c r="I121" s="427"/>
      <c r="J121" s="427"/>
      <c r="K121" s="427"/>
      <c r="L121" s="427"/>
      <c r="M121" s="427"/>
      <c r="N121" s="427"/>
      <c r="O121" s="399"/>
    </row>
    <row r="122" spans="1:15" ht="14" thickTop="1" x14ac:dyDescent="0.3">
      <c r="A122" s="42" t="s">
        <v>1</v>
      </c>
      <c r="B122" s="97">
        <f>SUM(B118:B121)</f>
        <v>7969236182.9199982</v>
      </c>
      <c r="C122" s="97">
        <f>SUM(C118:C121)</f>
        <v>1925793686.9199989</v>
      </c>
      <c r="D122" s="97">
        <f t="shared" ref="D122:N122" si="12">SUM(D118:D121)</f>
        <v>1223436320.1699994</v>
      </c>
      <c r="E122" s="97">
        <f t="shared" si="12"/>
        <v>1656262986.8100004</v>
      </c>
      <c r="F122" s="97">
        <f t="shared" si="12"/>
        <v>1974251391.5999994</v>
      </c>
      <c r="G122" s="97">
        <f t="shared" si="12"/>
        <v>963997924.38000011</v>
      </c>
      <c r="H122" s="97">
        <f t="shared" si="12"/>
        <v>83126172.969999984</v>
      </c>
      <c r="I122" s="97">
        <f t="shared" si="12"/>
        <v>28664096.280000001</v>
      </c>
      <c r="J122" s="97">
        <f t="shared" si="12"/>
        <v>9143319.4700000007</v>
      </c>
      <c r="K122" s="97">
        <f t="shared" si="12"/>
        <v>9274035.7000000011</v>
      </c>
      <c r="L122" s="97">
        <f t="shared" si="12"/>
        <v>21594354.949999999</v>
      </c>
      <c r="M122" s="97">
        <f t="shared" si="12"/>
        <v>3498129.7</v>
      </c>
      <c r="N122" s="97">
        <f t="shared" si="12"/>
        <v>70193763.969999999</v>
      </c>
      <c r="O122" s="399"/>
    </row>
    <row r="123" spans="1:15" x14ac:dyDescent="0.3">
      <c r="A123" s="26"/>
      <c r="B123" s="99"/>
      <c r="C123" s="99"/>
      <c r="D123" s="99"/>
      <c r="E123" s="99"/>
      <c r="F123" s="99"/>
      <c r="G123" s="99"/>
      <c r="H123" s="99"/>
      <c r="I123" s="99"/>
      <c r="J123" s="99"/>
      <c r="K123" s="99"/>
      <c r="L123" s="99"/>
      <c r="M123" s="99"/>
      <c r="N123" s="99"/>
      <c r="O123" s="55"/>
    </row>
    <row r="124" spans="1:15" x14ac:dyDescent="0.3">
      <c r="O124" s="54"/>
    </row>
    <row r="125" spans="1:15" x14ac:dyDescent="0.3">
      <c r="A125" s="187" t="s">
        <v>230</v>
      </c>
      <c r="B125" s="187"/>
      <c r="C125" s="187"/>
      <c r="D125" s="187"/>
      <c r="E125" s="187"/>
      <c r="F125" s="187"/>
      <c r="G125" s="187"/>
      <c r="H125" s="187"/>
      <c r="I125" s="187"/>
      <c r="J125" s="54"/>
    </row>
    <row r="126" spans="1:15" ht="40.5" x14ac:dyDescent="0.3">
      <c r="A126" s="109" t="s">
        <v>50</v>
      </c>
      <c r="B126" s="109" t="s">
        <v>51</v>
      </c>
      <c r="C126" s="149" t="s">
        <v>204</v>
      </c>
      <c r="D126" s="149" t="s">
        <v>59</v>
      </c>
      <c r="E126" s="149" t="s">
        <v>61</v>
      </c>
      <c r="F126" s="149" t="s">
        <v>53</v>
      </c>
      <c r="G126" s="150" t="s">
        <v>60</v>
      </c>
      <c r="H126" s="151" t="s">
        <v>54</v>
      </c>
      <c r="I126" s="150" t="s">
        <v>55</v>
      </c>
      <c r="J126" s="54"/>
    </row>
    <row r="127" spans="1:15" x14ac:dyDescent="0.3">
      <c r="A127" s="42" t="s">
        <v>164</v>
      </c>
      <c r="B127" s="70" t="s">
        <v>3</v>
      </c>
      <c r="C127" s="419">
        <v>458000000</v>
      </c>
      <c r="D127" s="277">
        <f>E127-365</f>
        <v>43242</v>
      </c>
      <c r="E127" s="277">
        <v>43607</v>
      </c>
      <c r="F127" s="101" t="s">
        <v>56</v>
      </c>
      <c r="G127" s="101" t="s">
        <v>108</v>
      </c>
      <c r="H127" s="277">
        <v>41355</v>
      </c>
      <c r="I127" s="143">
        <v>9</v>
      </c>
      <c r="J127" s="54"/>
    </row>
    <row r="128" spans="1:15" x14ac:dyDescent="0.3">
      <c r="A128" s="42" t="s">
        <v>200</v>
      </c>
      <c r="B128" s="70" t="s">
        <v>3</v>
      </c>
      <c r="C128" s="419">
        <v>650000000</v>
      </c>
      <c r="D128" s="309">
        <v>43438</v>
      </c>
      <c r="E128" s="309">
        <v>43803</v>
      </c>
      <c r="F128" s="143" t="s">
        <v>58</v>
      </c>
      <c r="G128" s="143" t="s">
        <v>109</v>
      </c>
      <c r="H128" s="309">
        <v>41521</v>
      </c>
      <c r="I128" s="143">
        <v>11</v>
      </c>
      <c r="J128" s="54"/>
    </row>
    <row r="129" spans="1:14" x14ac:dyDescent="0.3">
      <c r="A129" s="42" t="s">
        <v>206</v>
      </c>
      <c r="B129" s="70" t="s">
        <v>3</v>
      </c>
      <c r="C129" s="419">
        <v>2000000000</v>
      </c>
      <c r="D129" s="277">
        <v>43640</v>
      </c>
      <c r="E129" s="277">
        <v>44006</v>
      </c>
      <c r="F129" s="101" t="s">
        <v>56</v>
      </c>
      <c r="G129" s="101" t="s">
        <v>108</v>
      </c>
      <c r="H129" s="309">
        <v>41663</v>
      </c>
      <c r="I129" s="143">
        <v>12</v>
      </c>
      <c r="J129" s="54"/>
    </row>
    <row r="130" spans="1:14" x14ac:dyDescent="0.3">
      <c r="A130" s="42" t="s">
        <v>207</v>
      </c>
      <c r="B130" s="70" t="s">
        <v>3</v>
      </c>
      <c r="C130" s="419">
        <v>2000000000</v>
      </c>
      <c r="D130" s="277">
        <v>44315</v>
      </c>
      <c r="E130" s="277">
        <v>44680</v>
      </c>
      <c r="F130" s="101" t="s">
        <v>56</v>
      </c>
      <c r="G130" s="101" t="s">
        <v>108</v>
      </c>
      <c r="H130" s="309">
        <v>41521</v>
      </c>
      <c r="I130" s="143">
        <v>13</v>
      </c>
      <c r="J130" s="54"/>
    </row>
    <row r="131" spans="1:14" x14ac:dyDescent="0.3">
      <c r="A131" s="42" t="s">
        <v>250</v>
      </c>
      <c r="B131" s="70" t="s">
        <v>3</v>
      </c>
      <c r="C131" s="425">
        <v>200000000</v>
      </c>
      <c r="D131" s="277">
        <v>44522</v>
      </c>
      <c r="E131" s="277">
        <v>44887</v>
      </c>
      <c r="F131" s="101" t="s">
        <v>58</v>
      </c>
      <c r="G131" s="101" t="s">
        <v>109</v>
      </c>
      <c r="H131" s="309">
        <v>42696</v>
      </c>
      <c r="I131" s="143">
        <v>14</v>
      </c>
      <c r="J131" s="54"/>
    </row>
    <row r="132" spans="1:14" ht="14" thickBot="1" x14ac:dyDescent="0.35">
      <c r="A132" s="43" t="s">
        <v>251</v>
      </c>
      <c r="B132" s="169" t="s">
        <v>3</v>
      </c>
      <c r="C132" s="427">
        <v>2000000000</v>
      </c>
      <c r="D132" s="275">
        <v>44708</v>
      </c>
      <c r="E132" s="275">
        <v>45073</v>
      </c>
      <c r="F132" s="172" t="s">
        <v>56</v>
      </c>
      <c r="G132" s="171" t="s">
        <v>108</v>
      </c>
      <c r="H132" s="278">
        <v>42913</v>
      </c>
      <c r="I132" s="172">
        <v>15</v>
      </c>
      <c r="J132" s="54"/>
    </row>
    <row r="133" spans="1:14" ht="14" thickTop="1" x14ac:dyDescent="0.3">
      <c r="A133" s="26"/>
      <c r="B133" s="67"/>
      <c r="C133" s="367">
        <f>SUM(C127:C132)</f>
        <v>7308000000</v>
      </c>
      <c r="D133" s="429"/>
      <c r="E133" s="429"/>
      <c r="F133" s="105"/>
      <c r="G133" s="105"/>
      <c r="H133" s="429"/>
      <c r="I133" s="105"/>
      <c r="J133" s="54"/>
    </row>
    <row r="134" spans="1:14" s="67" customFormat="1" x14ac:dyDescent="0.3">
      <c r="A134" s="26"/>
      <c r="C134" s="420"/>
      <c r="D134" s="102"/>
      <c r="E134" s="102"/>
      <c r="F134" s="105"/>
      <c r="I134" s="102"/>
    </row>
    <row r="135" spans="1:14" s="67" customFormat="1" x14ac:dyDescent="0.3">
      <c r="A135" s="26"/>
      <c r="C135" s="420"/>
      <c r="D135" s="102"/>
      <c r="E135" s="102"/>
      <c r="F135" s="105"/>
      <c r="H135" s="55"/>
      <c r="I135" s="441"/>
      <c r="J135" s="55"/>
      <c r="K135" s="55"/>
      <c r="L135" s="55"/>
      <c r="M135" s="55"/>
      <c r="N135" s="55"/>
    </row>
    <row r="136" spans="1:14" s="67" customFormat="1" x14ac:dyDescent="0.3">
      <c r="A136" s="187" t="s">
        <v>231</v>
      </c>
      <c r="B136" s="187"/>
      <c r="C136" s="187"/>
      <c r="D136" s="187"/>
      <c r="E136" s="187"/>
      <c r="F136" s="187"/>
      <c r="G136" s="55"/>
      <c r="H136" s="55"/>
      <c r="I136" s="441"/>
      <c r="J136" s="55"/>
      <c r="K136" s="55"/>
      <c r="L136" s="55"/>
      <c r="M136" s="55"/>
      <c r="N136" s="55"/>
    </row>
    <row r="137" spans="1:14" s="67" customFormat="1" x14ac:dyDescent="0.3">
      <c r="A137" s="136" t="s">
        <v>119</v>
      </c>
      <c r="B137" s="19" t="s">
        <v>50</v>
      </c>
      <c r="C137" s="19" t="s">
        <v>120</v>
      </c>
      <c r="D137" s="19" t="s">
        <v>51</v>
      </c>
      <c r="E137" s="63" t="s">
        <v>121</v>
      </c>
      <c r="F137" s="63" t="s">
        <v>166</v>
      </c>
      <c r="G137" s="55"/>
      <c r="H137" s="55"/>
      <c r="I137" s="441"/>
      <c r="J137" s="55"/>
      <c r="K137" s="55"/>
      <c r="L137" s="445"/>
      <c r="M137" s="55"/>
      <c r="N137" s="446"/>
    </row>
    <row r="138" spans="1:14" s="67" customFormat="1" x14ac:dyDescent="0.3">
      <c r="A138" s="8" t="s">
        <v>123</v>
      </c>
      <c r="B138" s="430" t="s">
        <v>124</v>
      </c>
      <c r="C138" s="430" t="s">
        <v>125</v>
      </c>
      <c r="D138" s="430" t="s">
        <v>3</v>
      </c>
      <c r="E138" s="419">
        <v>108781000</v>
      </c>
      <c r="F138" s="196" t="s">
        <v>277</v>
      </c>
      <c r="G138" s="438"/>
      <c r="H138" s="55"/>
      <c r="I138" s="441"/>
      <c r="J138" s="55"/>
      <c r="K138" s="55"/>
      <c r="L138" s="445"/>
      <c r="M138" s="55"/>
      <c r="N138" s="446"/>
    </row>
    <row r="139" spans="1:14" s="67" customFormat="1" x14ac:dyDescent="0.3">
      <c r="A139" s="7" t="s">
        <v>211</v>
      </c>
      <c r="B139" s="372" t="s">
        <v>216</v>
      </c>
      <c r="C139" s="372" t="s">
        <v>128</v>
      </c>
      <c r="D139" s="372" t="s">
        <v>3</v>
      </c>
      <c r="E139" s="417">
        <v>124000000</v>
      </c>
      <c r="F139" s="196" t="s">
        <v>195</v>
      </c>
      <c r="G139" s="438"/>
      <c r="H139" s="55"/>
      <c r="I139" s="441"/>
      <c r="J139" s="55"/>
      <c r="K139" s="55"/>
      <c r="L139" s="445"/>
      <c r="M139" s="55"/>
      <c r="N139" s="446"/>
    </row>
    <row r="140" spans="1:14" s="67" customFormat="1" x14ac:dyDescent="0.3">
      <c r="A140" s="7" t="s">
        <v>190</v>
      </c>
      <c r="B140" s="372" t="s">
        <v>194</v>
      </c>
      <c r="C140" s="372" t="s">
        <v>128</v>
      </c>
      <c r="D140" s="372" t="s">
        <v>3</v>
      </c>
      <c r="E140" s="416">
        <v>45000000</v>
      </c>
      <c r="F140" s="358" t="s">
        <v>129</v>
      </c>
      <c r="G140" s="438"/>
      <c r="H140" s="55"/>
      <c r="I140" s="441"/>
      <c r="J140" s="55"/>
      <c r="K140" s="55"/>
      <c r="L140" s="445"/>
      <c r="M140" s="55"/>
      <c r="N140" s="446"/>
    </row>
    <row r="141" spans="1:14" s="67" customFormat="1" x14ac:dyDescent="0.3">
      <c r="A141" s="7" t="s">
        <v>236</v>
      </c>
      <c r="B141" s="372" t="s">
        <v>239</v>
      </c>
      <c r="C141" s="372" t="s">
        <v>128</v>
      </c>
      <c r="D141" s="372" t="s">
        <v>3</v>
      </c>
      <c r="E141" s="416">
        <v>41000000</v>
      </c>
      <c r="F141" s="358" t="s">
        <v>129</v>
      </c>
      <c r="G141" s="438"/>
      <c r="H141" s="55"/>
      <c r="I141" s="441"/>
      <c r="J141" s="55"/>
      <c r="K141" s="55"/>
      <c r="L141" s="445"/>
      <c r="M141" s="55"/>
      <c r="N141" s="446"/>
    </row>
    <row r="142" spans="1:14" s="67" customFormat="1" x14ac:dyDescent="0.3">
      <c r="A142" s="7" t="s">
        <v>252</v>
      </c>
      <c r="B142" s="372" t="s">
        <v>253</v>
      </c>
      <c r="C142" s="372" t="s">
        <v>128</v>
      </c>
      <c r="D142" s="372" t="s">
        <v>3</v>
      </c>
      <c r="E142" s="416">
        <v>10000000</v>
      </c>
      <c r="F142" s="358" t="s">
        <v>254</v>
      </c>
      <c r="G142" s="438"/>
      <c r="H142" s="55"/>
      <c r="I142" s="441"/>
      <c r="J142" s="55"/>
      <c r="K142" s="55"/>
      <c r="L142" s="445"/>
      <c r="M142" s="55"/>
      <c r="N142" s="446"/>
    </row>
    <row r="143" spans="1:14" s="67" customFormat="1" x14ac:dyDescent="0.3">
      <c r="A143" s="7" t="s">
        <v>255</v>
      </c>
      <c r="B143" s="372" t="s">
        <v>256</v>
      </c>
      <c r="C143" s="372" t="s">
        <v>128</v>
      </c>
      <c r="D143" s="372" t="s">
        <v>3</v>
      </c>
      <c r="E143" s="416">
        <v>51000000</v>
      </c>
      <c r="F143" s="358" t="s">
        <v>129</v>
      </c>
      <c r="G143" s="438"/>
      <c r="H143" s="55"/>
      <c r="I143" s="441"/>
      <c r="J143" s="55"/>
      <c r="K143" s="55"/>
      <c r="L143" s="445"/>
      <c r="M143" s="55"/>
      <c r="N143" s="446"/>
    </row>
    <row r="144" spans="1:14" s="67" customFormat="1" x14ac:dyDescent="0.3">
      <c r="A144" s="7" t="s">
        <v>238</v>
      </c>
      <c r="B144" s="372" t="s">
        <v>241</v>
      </c>
      <c r="C144" s="372" t="s">
        <v>128</v>
      </c>
      <c r="D144" s="372" t="s">
        <v>3</v>
      </c>
      <c r="E144" s="416">
        <v>45000000</v>
      </c>
      <c r="F144" s="358" t="s">
        <v>129</v>
      </c>
      <c r="G144" s="438"/>
      <c r="H144" s="55"/>
      <c r="I144" s="441"/>
      <c r="J144" s="55"/>
      <c r="K144" s="55"/>
      <c r="L144" s="445"/>
      <c r="M144" s="55"/>
      <c r="N144" s="446"/>
    </row>
    <row r="145" spans="1:14" s="67" customFormat="1" x14ac:dyDescent="0.3">
      <c r="A145" s="7" t="s">
        <v>257</v>
      </c>
      <c r="B145" s="372" t="s">
        <v>258</v>
      </c>
      <c r="C145" s="372" t="s">
        <v>128</v>
      </c>
      <c r="D145" s="372" t="s">
        <v>3</v>
      </c>
      <c r="E145" s="416">
        <v>10000000</v>
      </c>
      <c r="F145" s="358" t="s">
        <v>129</v>
      </c>
      <c r="G145" s="438"/>
      <c r="H145" s="55"/>
      <c r="I145" s="441"/>
      <c r="J145" s="55"/>
      <c r="K145" s="55"/>
      <c r="L145" s="445"/>
      <c r="M145" s="55"/>
      <c r="N145" s="446"/>
    </row>
    <row r="146" spans="1:14" s="67" customFormat="1" x14ac:dyDescent="0.3">
      <c r="A146" s="442" t="s">
        <v>264</v>
      </c>
      <c r="B146" s="372" t="s">
        <v>263</v>
      </c>
      <c r="C146" s="372" t="s">
        <v>128</v>
      </c>
      <c r="D146" s="372" t="s">
        <v>3</v>
      </c>
      <c r="E146" s="416">
        <v>25000000</v>
      </c>
      <c r="F146" s="358" t="s">
        <v>129</v>
      </c>
      <c r="G146" s="438"/>
      <c r="H146" s="55"/>
      <c r="I146" s="441"/>
      <c r="J146" s="55"/>
      <c r="K146" s="55"/>
      <c r="L146" s="445"/>
      <c r="M146" s="55"/>
      <c r="N146" s="446"/>
    </row>
    <row r="147" spans="1:14" s="67" customFormat="1" x14ac:dyDescent="0.3">
      <c r="A147" s="7" t="s">
        <v>259</v>
      </c>
      <c r="B147" s="372" t="s">
        <v>260</v>
      </c>
      <c r="C147" s="372" t="s">
        <v>248</v>
      </c>
      <c r="D147" s="372" t="s">
        <v>3</v>
      </c>
      <c r="E147" s="416">
        <v>10000000</v>
      </c>
      <c r="F147" s="358" t="s">
        <v>261</v>
      </c>
      <c r="G147" s="438"/>
      <c r="H147" s="55"/>
      <c r="I147" s="441"/>
      <c r="J147" s="55"/>
      <c r="K147" s="55"/>
      <c r="L147" s="445"/>
      <c r="M147" s="55"/>
      <c r="N147" s="446"/>
    </row>
    <row r="148" spans="1:14" s="67" customFormat="1" ht="14" thickBot="1" x14ac:dyDescent="0.35">
      <c r="A148" s="3" t="s">
        <v>246</v>
      </c>
      <c r="B148" s="443" t="s">
        <v>247</v>
      </c>
      <c r="C148" s="431" t="s">
        <v>248</v>
      </c>
      <c r="D148" s="432" t="s">
        <v>3</v>
      </c>
      <c r="E148" s="444">
        <v>10000000</v>
      </c>
      <c r="F148" s="359" t="s">
        <v>249</v>
      </c>
      <c r="G148" s="438"/>
      <c r="H148" s="55"/>
      <c r="I148" s="441"/>
      <c r="J148" s="55"/>
      <c r="K148" s="55"/>
      <c r="L148" s="445"/>
      <c r="M148" s="55"/>
      <c r="N148" s="446"/>
    </row>
    <row r="149" spans="1:14" ht="14" thickTop="1" x14ac:dyDescent="0.3">
      <c r="A149" s="5" t="s">
        <v>1</v>
      </c>
      <c r="B149" s="434"/>
      <c r="C149" s="434"/>
      <c r="D149" s="434"/>
      <c r="E149" s="423">
        <f>SUM(E138:E148)</f>
        <v>479781000</v>
      </c>
      <c r="F149" s="189"/>
      <c r="G149" s="55"/>
      <c r="H149" s="55"/>
      <c r="I149" s="441"/>
      <c r="J149" s="55"/>
      <c r="K149" s="55"/>
      <c r="L149" s="55"/>
      <c r="M149" s="55"/>
      <c r="N149" s="55"/>
    </row>
    <row r="150" spans="1:14" x14ac:dyDescent="0.3">
      <c r="A150" s="26"/>
      <c r="B150" s="67"/>
      <c r="C150" s="420"/>
      <c r="D150" s="102"/>
      <c r="E150" s="102"/>
      <c r="F150" s="105"/>
      <c r="G150" s="67"/>
      <c r="H150" s="67"/>
      <c r="I150" s="102"/>
      <c r="J150" s="67"/>
      <c r="K150" s="67"/>
      <c r="L150" s="67"/>
      <c r="M150" s="67"/>
      <c r="N150" s="67"/>
    </row>
    <row r="151" spans="1:14" x14ac:dyDescent="0.3">
      <c r="A151" s="67"/>
      <c r="B151" s="67"/>
      <c r="C151" s="67"/>
      <c r="D151" s="67"/>
      <c r="E151" s="67"/>
      <c r="F151" s="67"/>
      <c r="G151" s="67"/>
      <c r="H151" s="67"/>
      <c r="I151" s="67"/>
      <c r="J151" s="67"/>
      <c r="K151" s="67"/>
    </row>
    <row r="152" spans="1:14" x14ac:dyDescent="0.3">
      <c r="A152" s="187" t="s">
        <v>232</v>
      </c>
      <c r="B152" s="187"/>
      <c r="C152" s="187"/>
      <c r="D152" s="187"/>
      <c r="E152" s="187"/>
    </row>
    <row r="172" spans="1:1" x14ac:dyDescent="0.3">
      <c r="A172"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173"/>
  <sheetViews>
    <sheetView workbookViewId="0">
      <selection activeCell="A2" sqref="A2"/>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43008</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7330538016</v>
      </c>
      <c r="C7" s="263"/>
      <c r="D7" s="364"/>
      <c r="E7" s="267"/>
      <c r="F7" s="266"/>
      <c r="G7" s="55"/>
      <c r="H7" s="55"/>
      <c r="I7" s="67"/>
      <c r="J7" s="67"/>
      <c r="K7" s="67"/>
      <c r="L7" s="67"/>
      <c r="M7" s="67"/>
    </row>
    <row r="8" spans="1:13" x14ac:dyDescent="0.3">
      <c r="A8" s="265" t="s">
        <v>78</v>
      </c>
      <c r="B8" s="365">
        <v>1274654</v>
      </c>
      <c r="C8" s="263"/>
      <c r="D8" s="366"/>
      <c r="E8" s="267"/>
      <c r="F8" s="266"/>
      <c r="G8" s="55"/>
      <c r="H8" s="55"/>
      <c r="I8" s="67"/>
      <c r="J8" s="67"/>
      <c r="K8" s="67"/>
      <c r="L8" s="67"/>
      <c r="M8" s="67"/>
    </row>
    <row r="9" spans="1:13" x14ac:dyDescent="0.3">
      <c r="A9" s="265" t="s">
        <v>73</v>
      </c>
      <c r="B9" s="365">
        <v>5751</v>
      </c>
      <c r="C9" s="263"/>
      <c r="D9" s="364"/>
      <c r="E9" s="267"/>
      <c r="F9" s="266"/>
      <c r="G9" s="55"/>
      <c r="H9" s="55"/>
      <c r="I9" s="67"/>
      <c r="J9" s="67"/>
      <c r="K9" s="67"/>
      <c r="L9" s="67"/>
      <c r="M9" s="67"/>
    </row>
    <row r="10" spans="1:13" ht="13.5" customHeight="1" x14ac:dyDescent="0.3">
      <c r="A10" s="265" t="s">
        <v>79</v>
      </c>
      <c r="B10" s="338">
        <v>9.1999999999999998E-3</v>
      </c>
      <c r="C10" s="263"/>
      <c r="D10" s="268"/>
      <c r="E10" s="267"/>
      <c r="F10" s="266"/>
      <c r="G10" s="55"/>
      <c r="H10" s="55"/>
      <c r="I10" s="67"/>
      <c r="J10" s="67"/>
      <c r="K10" s="67"/>
      <c r="L10" s="67"/>
      <c r="M10" s="67"/>
    </row>
    <row r="11" spans="1:13" x14ac:dyDescent="0.3">
      <c r="A11" s="265" t="s">
        <v>74</v>
      </c>
      <c r="B11" s="365">
        <v>45</v>
      </c>
      <c r="C11" s="348"/>
      <c r="D11" s="349"/>
      <c r="E11" s="350"/>
      <c r="F11" s="266"/>
      <c r="G11" s="55"/>
      <c r="H11" s="55"/>
      <c r="I11" s="67"/>
      <c r="J11" s="67"/>
      <c r="K11" s="67"/>
      <c r="L11" s="67"/>
      <c r="M11" s="67"/>
    </row>
    <row r="12" spans="1:13" x14ac:dyDescent="0.3">
      <c r="A12" s="265" t="s">
        <v>81</v>
      </c>
      <c r="B12" s="365">
        <v>165</v>
      </c>
      <c r="C12" s="348"/>
      <c r="D12" s="349"/>
      <c r="E12" s="350"/>
      <c r="F12" s="351"/>
      <c r="G12" s="55"/>
      <c r="H12" s="55"/>
      <c r="I12" s="67"/>
      <c r="J12" s="67"/>
      <c r="K12" s="67"/>
      <c r="L12" s="67"/>
      <c r="M12" s="67"/>
    </row>
    <row r="13" spans="1:13" x14ac:dyDescent="0.3">
      <c r="A13" s="265" t="s">
        <v>75</v>
      </c>
      <c r="B13" s="365">
        <v>5598</v>
      </c>
      <c r="C13" s="339"/>
      <c r="D13" s="349"/>
      <c r="E13" s="350"/>
      <c r="F13" s="351"/>
      <c r="G13" s="55"/>
      <c r="H13" s="55"/>
      <c r="I13" s="362"/>
      <c r="J13" s="362"/>
      <c r="K13" s="67"/>
      <c r="L13" s="67"/>
      <c r="M13" s="67"/>
    </row>
    <row r="14" spans="1:13" x14ac:dyDescent="0.3">
      <c r="A14" s="265" t="s">
        <v>196</v>
      </c>
      <c r="B14" s="338">
        <v>0.51039999999999996</v>
      </c>
      <c r="C14" s="348"/>
      <c r="D14" s="349"/>
      <c r="E14" s="350"/>
      <c r="F14" s="351"/>
      <c r="G14" s="55"/>
      <c r="H14" s="55"/>
      <c r="I14" s="362"/>
      <c r="J14" s="362"/>
      <c r="K14" s="67"/>
      <c r="L14" s="67"/>
      <c r="M14" s="67"/>
    </row>
    <row r="15" spans="1:13" x14ac:dyDescent="0.3">
      <c r="A15" s="265" t="s">
        <v>83</v>
      </c>
      <c r="B15" s="269">
        <v>1</v>
      </c>
      <c r="C15" s="348"/>
      <c r="D15" s="349"/>
      <c r="E15" s="350"/>
      <c r="F15" s="351"/>
      <c r="G15" s="55"/>
      <c r="H15" s="55"/>
      <c r="I15" s="362"/>
      <c r="J15" s="362"/>
      <c r="K15" s="67"/>
      <c r="L15" s="67"/>
      <c r="M15" s="67"/>
    </row>
    <row r="16" spans="1:13" x14ac:dyDescent="0.3">
      <c r="A16" s="265" t="s">
        <v>86</v>
      </c>
      <c r="B16" s="269">
        <v>1</v>
      </c>
      <c r="C16" s="348"/>
      <c r="D16" s="349"/>
      <c r="E16" s="350"/>
      <c r="F16" s="351"/>
      <c r="G16" s="55"/>
      <c r="H16" s="55"/>
      <c r="I16" s="362"/>
      <c r="J16" s="362"/>
      <c r="K16" s="67"/>
      <c r="L16" s="67"/>
      <c r="M16" s="67"/>
    </row>
    <row r="17" spans="1:13" x14ac:dyDescent="0.3">
      <c r="A17" s="265" t="s">
        <v>84</v>
      </c>
      <c r="B17" s="265">
        <f>+(E85+E86+E87)/B88</f>
        <v>5.1005806012829977E-4</v>
      </c>
      <c r="C17" s="348"/>
      <c r="D17" s="349"/>
      <c r="E17" s="350"/>
      <c r="F17" s="351"/>
      <c r="G17" s="55"/>
      <c r="H17" s="55"/>
      <c r="I17" s="362"/>
      <c r="J17" s="362"/>
      <c r="K17" s="67"/>
      <c r="L17" s="67"/>
      <c r="M17" s="67"/>
    </row>
    <row r="18" spans="1:13" x14ac:dyDescent="0.3">
      <c r="A18" s="265" t="s">
        <v>49</v>
      </c>
      <c r="B18" s="367">
        <f>186059000+393739000</f>
        <v>579798000</v>
      </c>
      <c r="C18" s="348"/>
      <c r="D18" s="348"/>
      <c r="E18" s="352"/>
      <c r="F18" s="353"/>
      <c r="G18" s="306"/>
      <c r="H18" s="368"/>
      <c r="I18" s="368"/>
      <c r="J18" s="189"/>
      <c r="K18" s="67"/>
      <c r="L18" s="67"/>
      <c r="M18" s="67"/>
    </row>
    <row r="19" spans="1:13" x14ac:dyDescent="0.3">
      <c r="A19" s="262" t="s">
        <v>80</v>
      </c>
      <c r="B19" s="369">
        <f>+B7+B18</f>
        <v>7910336016</v>
      </c>
      <c r="C19" s="348"/>
      <c r="D19" s="348" t="s">
        <v>234</v>
      </c>
      <c r="E19" s="435" t="s">
        <v>235</v>
      </c>
      <c r="F19" s="353"/>
      <c r="G19" s="307"/>
      <c r="H19" s="368"/>
      <c r="I19" s="368"/>
      <c r="J19" s="189"/>
      <c r="K19" s="67"/>
      <c r="L19" s="67"/>
      <c r="M19" s="67"/>
    </row>
    <row r="20" spans="1:13" x14ac:dyDescent="0.3">
      <c r="A20" s="341" t="s">
        <v>197</v>
      </c>
      <c r="B20" s="342">
        <f>($B$19-D20)/E20-1</f>
        <v>0.18094939884093075</v>
      </c>
      <c r="C20" s="348"/>
      <c r="D20" s="436">
        <v>18927448</v>
      </c>
      <c r="E20" s="435">
        <v>6682258000</v>
      </c>
      <c r="F20" s="353"/>
      <c r="G20" s="307"/>
      <c r="H20" s="368"/>
      <c r="I20" s="368"/>
      <c r="J20" s="189"/>
      <c r="K20" s="67"/>
      <c r="L20" s="67"/>
      <c r="M20" s="67"/>
    </row>
    <row r="21" spans="1:13" x14ac:dyDescent="0.3">
      <c r="A21" s="341" t="s">
        <v>198</v>
      </c>
      <c r="B21" s="342">
        <f>($B$19-D21)/E20-1</f>
        <v>0.14086378780945008</v>
      </c>
      <c r="C21" s="348"/>
      <c r="D21" s="435">
        <v>286789843</v>
      </c>
      <c r="E21" s="435"/>
      <c r="F21" s="353"/>
      <c r="G21" s="307"/>
      <c r="H21" s="368"/>
      <c r="I21" s="368"/>
      <c r="J21" s="189"/>
      <c r="K21" s="67"/>
      <c r="L21" s="67"/>
      <c r="M21" s="67"/>
    </row>
    <row r="22" spans="1:13" x14ac:dyDescent="0.3">
      <c r="A22" s="341" t="s">
        <v>233</v>
      </c>
      <c r="B22" s="342">
        <f>($B$19-D22)/E20-1</f>
        <v>8.2857912400269518E-2</v>
      </c>
      <c r="C22" s="348"/>
      <c r="D22" s="435">
        <v>674400068</v>
      </c>
      <c r="E22" s="435"/>
      <c r="F22" s="353"/>
      <c r="G22" s="307"/>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2002374496.6400003</v>
      </c>
      <c r="C28" s="373">
        <v>2629</v>
      </c>
      <c r="D28" s="196">
        <f t="shared" ref="D28:D37" si="0">B28/$B$40</f>
        <v>0.27315518892928037</v>
      </c>
      <c r="E28" s="355"/>
      <c r="F28" s="186"/>
      <c r="G28" s="186"/>
      <c r="H28" s="368"/>
      <c r="I28" s="374"/>
      <c r="J28" s="189"/>
      <c r="K28" s="67"/>
      <c r="L28" s="67"/>
      <c r="M28" s="67"/>
    </row>
    <row r="29" spans="1:13" ht="14.5" x14ac:dyDescent="0.35">
      <c r="A29" s="6" t="s">
        <v>7</v>
      </c>
      <c r="B29" s="372">
        <v>1211575438.3800001</v>
      </c>
      <c r="C29" s="373">
        <v>814</v>
      </c>
      <c r="D29" s="196">
        <f t="shared" si="0"/>
        <v>0.16527783305675242</v>
      </c>
      <c r="E29" s="355"/>
      <c r="F29" s="257"/>
      <c r="G29" s="257"/>
      <c r="H29" s="257"/>
      <c r="I29" s="257"/>
      <c r="J29" s="189"/>
      <c r="K29" s="67"/>
      <c r="L29" s="67"/>
      <c r="M29" s="67"/>
    </row>
    <row r="30" spans="1:13" ht="14.5" x14ac:dyDescent="0.35">
      <c r="A30" s="6" t="s">
        <v>8</v>
      </c>
      <c r="B30" s="372">
        <v>1575982215.3200002</v>
      </c>
      <c r="C30" s="373">
        <v>933</v>
      </c>
      <c r="D30" s="196">
        <f t="shared" si="0"/>
        <v>0.21498861501546396</v>
      </c>
      <c r="E30" s="355"/>
      <c r="F30" s="259"/>
      <c r="G30" s="259"/>
      <c r="H30" s="259"/>
      <c r="I30" s="259"/>
      <c r="J30" s="189"/>
      <c r="K30" s="67"/>
      <c r="L30" s="67"/>
      <c r="M30" s="67"/>
    </row>
    <row r="31" spans="1:13" ht="14.5" x14ac:dyDescent="0.35">
      <c r="A31" s="6" t="s">
        <v>9</v>
      </c>
      <c r="B31" s="372">
        <v>1743393332.9599998</v>
      </c>
      <c r="C31" s="373">
        <v>976</v>
      </c>
      <c r="D31" s="196">
        <f t="shared" si="0"/>
        <v>0.23782610897303785</v>
      </c>
      <c r="E31" s="355"/>
      <c r="F31" s="316"/>
      <c r="G31" s="317"/>
      <c r="H31" s="317"/>
      <c r="I31" s="176"/>
      <c r="J31" s="189"/>
      <c r="K31" s="67"/>
      <c r="L31" s="67"/>
      <c r="M31" s="67"/>
    </row>
    <row r="32" spans="1:13" ht="14.5" x14ac:dyDescent="0.35">
      <c r="A32" s="6" t="s">
        <v>140</v>
      </c>
      <c r="B32" s="372">
        <v>668058782.22000003</v>
      </c>
      <c r="C32" s="373">
        <v>331</v>
      </c>
      <c r="D32" s="196">
        <f t="shared" si="0"/>
        <v>9.1133663148116481E-2</v>
      </c>
      <c r="E32" s="355"/>
      <c r="F32" s="304"/>
      <c r="G32" s="368"/>
      <c r="H32" s="368"/>
      <c r="I32" s="263"/>
      <c r="J32" s="189"/>
      <c r="K32" s="67"/>
      <c r="L32" s="67"/>
      <c r="M32" s="67"/>
    </row>
    <row r="33" spans="1:15" ht="14.5" x14ac:dyDescent="0.35">
      <c r="A33" s="6" t="s">
        <v>141</v>
      </c>
      <c r="B33" s="372">
        <v>45107574.939999998</v>
      </c>
      <c r="C33" s="373">
        <v>24</v>
      </c>
      <c r="D33" s="196">
        <f t="shared" si="0"/>
        <v>6.1533784891650992E-3</v>
      </c>
      <c r="E33" s="355"/>
      <c r="F33" s="304"/>
      <c r="G33" s="368"/>
      <c r="H33" s="368"/>
      <c r="I33" s="263"/>
      <c r="J33" s="345"/>
      <c r="K33" s="67"/>
      <c r="L33" s="67"/>
      <c r="M33" s="67"/>
    </row>
    <row r="34" spans="1:15" ht="14.5" x14ac:dyDescent="0.35">
      <c r="A34" s="6" t="s">
        <v>10</v>
      </c>
      <c r="B34" s="372">
        <v>11414556.09</v>
      </c>
      <c r="C34" s="373">
        <v>9</v>
      </c>
      <c r="D34" s="196">
        <f t="shared" si="0"/>
        <v>1.5571239198959802E-3</v>
      </c>
      <c r="E34" s="355"/>
      <c r="F34" s="304"/>
      <c r="G34" s="368"/>
      <c r="H34" s="368"/>
      <c r="I34" s="263"/>
      <c r="J34" s="362"/>
      <c r="K34" s="67"/>
      <c r="L34" s="67"/>
      <c r="M34" s="67"/>
    </row>
    <row r="35" spans="1:15" ht="14.5" x14ac:dyDescent="0.35">
      <c r="A35" s="6" t="s">
        <v>11</v>
      </c>
      <c r="B35" s="375">
        <v>5127618</v>
      </c>
      <c r="C35" s="376">
        <v>4</v>
      </c>
      <c r="D35" s="196">
        <f t="shared" si="0"/>
        <v>6.9948726669134852E-4</v>
      </c>
      <c r="E35" s="355"/>
      <c r="F35" s="304"/>
      <c r="G35" s="368"/>
      <c r="H35" s="368"/>
      <c r="I35" s="263"/>
      <c r="J35" s="67"/>
      <c r="K35" s="67"/>
      <c r="L35" s="67"/>
      <c r="M35" s="67"/>
    </row>
    <row r="36" spans="1:15" ht="14.5" x14ac:dyDescent="0.35">
      <c r="A36" s="6" t="s">
        <v>12</v>
      </c>
      <c r="B36" s="377">
        <v>9593738.5800000001</v>
      </c>
      <c r="C36" s="378">
        <v>5</v>
      </c>
      <c r="D36" s="196">
        <f t="shared" si="0"/>
        <v>1.308735942629802E-3</v>
      </c>
      <c r="E36" s="355"/>
      <c r="F36" s="304"/>
      <c r="G36" s="368"/>
      <c r="H36" s="368"/>
      <c r="I36" s="263"/>
      <c r="J36" s="67"/>
      <c r="K36" s="67"/>
      <c r="L36" s="67"/>
      <c r="M36" s="67"/>
    </row>
    <row r="37" spans="1:15" ht="14.5" x14ac:dyDescent="0.35">
      <c r="A37" s="6" t="s">
        <v>13</v>
      </c>
      <c r="B37" s="377">
        <v>0</v>
      </c>
      <c r="C37" s="378">
        <v>0</v>
      </c>
      <c r="D37" s="196">
        <f t="shared" si="0"/>
        <v>0</v>
      </c>
      <c r="E37" s="355"/>
      <c r="F37" s="304"/>
      <c r="G37" s="368"/>
      <c r="H37" s="368"/>
      <c r="I37" s="263"/>
      <c r="J37" s="67"/>
      <c r="K37" s="67"/>
      <c r="L37" s="67"/>
      <c r="M37" s="67"/>
    </row>
    <row r="38" spans="1:15" ht="14.5" x14ac:dyDescent="0.35">
      <c r="A38" s="6" t="s">
        <v>14</v>
      </c>
      <c r="B38" s="377">
        <v>7523008.25</v>
      </c>
      <c r="C38" s="378">
        <v>2</v>
      </c>
      <c r="D38" s="196">
        <f>B38/$B$40</f>
        <v>1.0262559492709804E-3</v>
      </c>
      <c r="E38" s="355"/>
      <c r="F38" s="304"/>
      <c r="G38" s="368"/>
      <c r="H38" s="368"/>
      <c r="I38" s="263"/>
      <c r="J38" s="67"/>
      <c r="K38" s="67"/>
      <c r="L38" s="67"/>
      <c r="M38" s="67"/>
      <c r="O38" s="54"/>
    </row>
    <row r="39" spans="1:15" ht="15" thickBot="1" x14ac:dyDescent="0.4">
      <c r="A39" s="4" t="s">
        <v>15</v>
      </c>
      <c r="B39" s="379">
        <v>50387254.349999994</v>
      </c>
      <c r="C39" s="380">
        <v>24</v>
      </c>
      <c r="D39" s="192">
        <f>B39/$B$40</f>
        <v>6.8736093096957024E-3</v>
      </c>
      <c r="E39" s="355"/>
      <c r="F39" s="304"/>
      <c r="G39" s="374"/>
      <c r="H39" s="374"/>
      <c r="I39" s="263"/>
      <c r="J39" s="67"/>
      <c r="K39" s="67"/>
      <c r="L39" s="67"/>
      <c r="M39" s="67"/>
      <c r="O39" s="54"/>
    </row>
    <row r="40" spans="1:15" ht="15" thickTop="1" x14ac:dyDescent="0.35">
      <c r="A40" s="1" t="s">
        <v>1</v>
      </c>
      <c r="B40" s="18">
        <f>SUM(B28:B39)</f>
        <v>7330538015.7300005</v>
      </c>
      <c r="C40" s="381">
        <f>SUM(C28:C39)</f>
        <v>5751</v>
      </c>
      <c r="D40" s="344">
        <f>SUM(D28:D39)</f>
        <v>0.99999999999999978</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225538648.17000002</v>
      </c>
      <c r="C46" s="373">
        <v>1517</v>
      </c>
      <c r="D46" s="196">
        <f>B46/$B$40</f>
        <v>3.0766997959226883E-2</v>
      </c>
      <c r="E46" s="384"/>
      <c r="O46" s="54"/>
    </row>
    <row r="47" spans="1:15" x14ac:dyDescent="0.3">
      <c r="A47" s="6" t="s">
        <v>221</v>
      </c>
      <c r="B47" s="372">
        <v>766510947.26000011</v>
      </c>
      <c r="C47" s="373">
        <v>1008</v>
      </c>
      <c r="D47" s="196">
        <f t="shared" ref="D47:D49" si="1">B47/$B$40</f>
        <v>0.10456407778190456</v>
      </c>
      <c r="E47" s="384"/>
      <c r="O47" s="54"/>
    </row>
    <row r="48" spans="1:15" x14ac:dyDescent="0.3">
      <c r="A48" s="6" t="s">
        <v>222</v>
      </c>
      <c r="B48" s="372">
        <v>2950888024.5299983</v>
      </c>
      <c r="C48" s="373">
        <v>1996</v>
      </c>
      <c r="D48" s="196">
        <f t="shared" si="1"/>
        <v>0.40254726436148747</v>
      </c>
      <c r="E48" s="384"/>
      <c r="O48" s="54"/>
    </row>
    <row r="49" spans="1:15" x14ac:dyDescent="0.3">
      <c r="A49" s="6" t="s">
        <v>223</v>
      </c>
      <c r="B49" s="372">
        <v>2144329308.2700009</v>
      </c>
      <c r="C49" s="373">
        <v>898</v>
      </c>
      <c r="D49" s="196">
        <f t="shared" si="1"/>
        <v>0.29252004473186832</v>
      </c>
      <c r="E49" s="384"/>
      <c r="O49" s="54"/>
    </row>
    <row r="50" spans="1:15" ht="14" thickBot="1" x14ac:dyDescent="0.35">
      <c r="A50" s="4" t="s">
        <v>224</v>
      </c>
      <c r="B50" s="379">
        <v>1243271087.4999998</v>
      </c>
      <c r="C50" s="380">
        <v>332</v>
      </c>
      <c r="D50" s="192">
        <f>B50/$B$40</f>
        <v>0.16960161516551259</v>
      </c>
      <c r="E50" s="384"/>
      <c r="O50" s="54"/>
    </row>
    <row r="51" spans="1:15" ht="14" thickTop="1" x14ac:dyDescent="0.3">
      <c r="A51" s="1" t="s">
        <v>1</v>
      </c>
      <c r="B51" s="18">
        <f>SUM(B46:B50)</f>
        <v>7330538015.7299995</v>
      </c>
      <c r="C51" s="381">
        <f>SUM(C46:C50)</f>
        <v>5751</v>
      </c>
      <c r="D51" s="344">
        <f>SUM(D46:D50)</f>
        <v>0.99999999999999978</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226222433.81</v>
      </c>
      <c r="C56" s="387">
        <v>86713829.349999994</v>
      </c>
      <c r="D56" s="387">
        <v>50319546.399999999</v>
      </c>
      <c r="E56" s="387">
        <v>64996418.06000001</v>
      </c>
      <c r="F56" s="387">
        <v>20211982</v>
      </c>
      <c r="G56" s="387">
        <v>3980658</v>
      </c>
      <c r="H56" s="387">
        <v>0</v>
      </c>
      <c r="I56" s="387">
        <v>0</v>
      </c>
      <c r="J56" s="387">
        <v>0</v>
      </c>
      <c r="K56" s="387">
        <v>0</v>
      </c>
      <c r="L56" s="387">
        <v>0</v>
      </c>
      <c r="M56" s="387">
        <v>0</v>
      </c>
      <c r="N56" s="447">
        <v>0</v>
      </c>
      <c r="O56" s="54"/>
    </row>
    <row r="57" spans="1:15" ht="14.5" x14ac:dyDescent="0.35">
      <c r="A57" s="154" t="s">
        <v>29</v>
      </c>
      <c r="B57" s="387">
        <f t="shared" ref="B57:B75" si="2">SUM(C57:N57)</f>
        <v>421878210.80000001</v>
      </c>
      <c r="C57" s="387">
        <v>73471375.290000007</v>
      </c>
      <c r="D57" s="387">
        <v>101791040.92999999</v>
      </c>
      <c r="E57" s="387">
        <v>97600017.49000001</v>
      </c>
      <c r="F57" s="387">
        <v>116414704.08999999</v>
      </c>
      <c r="G57" s="387">
        <v>17271144</v>
      </c>
      <c r="H57" s="387">
        <v>14433565</v>
      </c>
      <c r="I57" s="387">
        <v>0</v>
      </c>
      <c r="J57" s="387">
        <v>0</v>
      </c>
      <c r="K57" s="387">
        <v>0</v>
      </c>
      <c r="L57" s="387">
        <v>0</v>
      </c>
      <c r="M57" s="387">
        <v>0</v>
      </c>
      <c r="N57" s="448">
        <v>896364</v>
      </c>
      <c r="O57" s="54"/>
    </row>
    <row r="58" spans="1:15" ht="14.5" x14ac:dyDescent="0.35">
      <c r="A58" s="154" t="s">
        <v>30</v>
      </c>
      <c r="B58" s="387">
        <f t="shared" si="2"/>
        <v>43089319.359999999</v>
      </c>
      <c r="C58" s="387">
        <v>12286621.66</v>
      </c>
      <c r="D58" s="387">
        <v>23920616.699999999</v>
      </c>
      <c r="E58" s="387">
        <v>4131596</v>
      </c>
      <c r="F58" s="387">
        <v>0</v>
      </c>
      <c r="G58" s="387">
        <v>2750485</v>
      </c>
      <c r="H58" s="387">
        <v>0</v>
      </c>
      <c r="I58" s="387">
        <v>0</v>
      </c>
      <c r="J58" s="387">
        <v>0</v>
      </c>
      <c r="K58" s="387">
        <v>0</v>
      </c>
      <c r="L58" s="387">
        <v>0</v>
      </c>
      <c r="M58" s="387">
        <v>0</v>
      </c>
      <c r="N58" s="448">
        <v>0</v>
      </c>
      <c r="O58" s="54"/>
    </row>
    <row r="59" spans="1:15" ht="14.5" x14ac:dyDescent="0.35">
      <c r="A59" s="154" t="s">
        <v>142</v>
      </c>
      <c r="B59" s="387">
        <f t="shared" si="2"/>
        <v>4596126.74</v>
      </c>
      <c r="C59" s="387">
        <v>0</v>
      </c>
      <c r="D59" s="387">
        <v>0</v>
      </c>
      <c r="E59" s="387">
        <v>0</v>
      </c>
      <c r="F59" s="387">
        <v>1906460.74</v>
      </c>
      <c r="G59" s="387">
        <v>2689666</v>
      </c>
      <c r="H59" s="387">
        <v>0</v>
      </c>
      <c r="I59" s="387">
        <v>0</v>
      </c>
      <c r="J59" s="387">
        <v>0</v>
      </c>
      <c r="K59" s="387">
        <v>0</v>
      </c>
      <c r="L59" s="387">
        <v>0</v>
      </c>
      <c r="M59" s="387">
        <v>0</v>
      </c>
      <c r="N59" s="448">
        <v>0</v>
      </c>
      <c r="O59" s="54"/>
    </row>
    <row r="60" spans="1:15" ht="14.5" x14ac:dyDescent="0.35">
      <c r="A60" s="154" t="s">
        <v>31</v>
      </c>
      <c r="B60" s="387">
        <f t="shared" si="2"/>
        <v>16635937.189999999</v>
      </c>
      <c r="C60" s="387">
        <v>1200809</v>
      </c>
      <c r="D60" s="387">
        <v>4096184.19</v>
      </c>
      <c r="E60" s="387">
        <v>4651018</v>
      </c>
      <c r="F60" s="387">
        <v>6687926</v>
      </c>
      <c r="G60" s="387">
        <v>0</v>
      </c>
      <c r="H60" s="387">
        <v>0</v>
      </c>
      <c r="I60" s="387">
        <v>0</v>
      </c>
      <c r="J60" s="387">
        <v>0</v>
      </c>
      <c r="K60" s="387">
        <v>0</v>
      </c>
      <c r="L60" s="387">
        <v>0</v>
      </c>
      <c r="M60" s="387">
        <v>0</v>
      </c>
      <c r="N60" s="448">
        <v>0</v>
      </c>
      <c r="O60" s="54"/>
    </row>
    <row r="61" spans="1:15" ht="14.5" x14ac:dyDescent="0.35">
      <c r="A61" s="154" t="s">
        <v>32</v>
      </c>
      <c r="B61" s="387">
        <f t="shared" si="2"/>
        <v>610076988.33999991</v>
      </c>
      <c r="C61" s="387">
        <v>161801493.21000004</v>
      </c>
      <c r="D61" s="387">
        <v>84190196.899999991</v>
      </c>
      <c r="E61" s="387">
        <v>140486712.69999999</v>
      </c>
      <c r="F61" s="387">
        <v>149088277.82999998</v>
      </c>
      <c r="G61" s="387">
        <v>38673400</v>
      </c>
      <c r="H61" s="387">
        <v>2871528</v>
      </c>
      <c r="I61" s="387">
        <v>4066010.81</v>
      </c>
      <c r="J61" s="387">
        <v>3855937</v>
      </c>
      <c r="K61" s="387">
        <v>4477241.58</v>
      </c>
      <c r="L61" s="387">
        <v>0</v>
      </c>
      <c r="M61" s="387">
        <v>0</v>
      </c>
      <c r="N61" s="448">
        <v>20566190.310000002</v>
      </c>
      <c r="O61" s="54"/>
    </row>
    <row r="62" spans="1:15" ht="14.5" x14ac:dyDescent="0.35">
      <c r="A62" s="154" t="s">
        <v>143</v>
      </c>
      <c r="B62" s="387">
        <f t="shared" si="2"/>
        <v>11525988.17</v>
      </c>
      <c r="C62" s="387">
        <v>3433812</v>
      </c>
      <c r="D62" s="387">
        <v>1464322</v>
      </c>
      <c r="E62" s="387">
        <v>0</v>
      </c>
      <c r="F62" s="387">
        <v>6627854.1699999999</v>
      </c>
      <c r="G62" s="387">
        <v>0</v>
      </c>
      <c r="H62" s="387">
        <v>0</v>
      </c>
      <c r="I62" s="387">
        <v>0</v>
      </c>
      <c r="J62" s="387">
        <v>0</v>
      </c>
      <c r="K62" s="387">
        <v>0</v>
      </c>
      <c r="L62" s="387">
        <v>0</v>
      </c>
      <c r="M62" s="387">
        <v>0</v>
      </c>
      <c r="N62" s="448">
        <v>0</v>
      </c>
      <c r="O62" s="54"/>
    </row>
    <row r="63" spans="1:15" ht="14.5" x14ac:dyDescent="0.35">
      <c r="A63" s="154" t="s">
        <v>33</v>
      </c>
      <c r="B63" s="387">
        <f t="shared" si="2"/>
        <v>11473279.720000001</v>
      </c>
      <c r="C63" s="387">
        <v>507317.72000000003</v>
      </c>
      <c r="D63" s="387">
        <v>0</v>
      </c>
      <c r="E63" s="387">
        <v>1607536</v>
      </c>
      <c r="F63" s="387">
        <v>4691929</v>
      </c>
      <c r="G63" s="387">
        <v>0</v>
      </c>
      <c r="H63" s="387">
        <v>0</v>
      </c>
      <c r="I63" s="387">
        <v>0</v>
      </c>
      <c r="J63" s="387">
        <v>0</v>
      </c>
      <c r="K63" s="387">
        <v>2266497</v>
      </c>
      <c r="L63" s="387">
        <v>0</v>
      </c>
      <c r="M63" s="387">
        <v>0</v>
      </c>
      <c r="N63" s="448">
        <v>2400000</v>
      </c>
      <c r="O63" s="54"/>
    </row>
    <row r="64" spans="1:15" ht="14.5" x14ac:dyDescent="0.35">
      <c r="A64" s="154" t="s">
        <v>205</v>
      </c>
      <c r="B64" s="387">
        <f t="shared" si="2"/>
        <v>2668854</v>
      </c>
      <c r="C64" s="387">
        <v>1453065</v>
      </c>
      <c r="D64" s="387">
        <v>553825</v>
      </c>
      <c r="E64" s="387">
        <v>0</v>
      </c>
      <c r="F64" s="387">
        <v>0</v>
      </c>
      <c r="G64" s="387">
        <v>661964</v>
      </c>
      <c r="H64" s="387">
        <v>0</v>
      </c>
      <c r="I64" s="387">
        <v>0</v>
      </c>
      <c r="J64" s="387">
        <v>0</v>
      </c>
      <c r="K64" s="387">
        <v>0</v>
      </c>
      <c r="L64" s="387">
        <v>0</v>
      </c>
      <c r="M64" s="387">
        <v>0</v>
      </c>
      <c r="N64" s="448">
        <v>0</v>
      </c>
      <c r="O64" s="54"/>
    </row>
    <row r="65" spans="1:15" ht="14.5" x14ac:dyDescent="0.35">
      <c r="A65" s="154" t="s">
        <v>34</v>
      </c>
      <c r="B65" s="387">
        <f t="shared" si="2"/>
        <v>11345832.01</v>
      </c>
      <c r="C65" s="387">
        <v>2313231.0099999998</v>
      </c>
      <c r="D65" s="387">
        <v>1938517</v>
      </c>
      <c r="E65" s="387">
        <v>2119826</v>
      </c>
      <c r="F65" s="387">
        <v>3805382</v>
      </c>
      <c r="G65" s="387">
        <v>1168876</v>
      </c>
      <c r="H65" s="387">
        <v>0</v>
      </c>
      <c r="I65" s="387">
        <v>0</v>
      </c>
      <c r="J65" s="387">
        <v>0</v>
      </c>
      <c r="K65" s="387">
        <v>0</v>
      </c>
      <c r="L65" s="387">
        <v>0</v>
      </c>
      <c r="M65" s="387">
        <v>0</v>
      </c>
      <c r="N65" s="448">
        <v>0</v>
      </c>
      <c r="O65" s="54"/>
    </row>
    <row r="66" spans="1:15" ht="14.5" x14ac:dyDescent="0.35">
      <c r="A66" s="154" t="s">
        <v>35</v>
      </c>
      <c r="B66" s="387">
        <f t="shared" si="2"/>
        <v>320761786.02999997</v>
      </c>
      <c r="C66" s="387">
        <v>159892500.08999997</v>
      </c>
      <c r="D66" s="387">
        <v>66917145</v>
      </c>
      <c r="E66" s="387">
        <v>60063673.879999995</v>
      </c>
      <c r="F66" s="387">
        <v>18072916</v>
      </c>
      <c r="G66" s="387">
        <v>10852546</v>
      </c>
      <c r="H66" s="387">
        <v>0</v>
      </c>
      <c r="I66" s="387">
        <v>0</v>
      </c>
      <c r="J66" s="387">
        <v>0</v>
      </c>
      <c r="K66" s="387">
        <v>0</v>
      </c>
      <c r="L66" s="387">
        <v>0</v>
      </c>
      <c r="M66" s="387">
        <v>0</v>
      </c>
      <c r="N66" s="448">
        <v>4963005.0599999996</v>
      </c>
      <c r="O66" s="54"/>
    </row>
    <row r="67" spans="1:15" ht="14.5" x14ac:dyDescent="0.35">
      <c r="A67" s="154" t="s">
        <v>36</v>
      </c>
      <c r="B67" s="387">
        <f t="shared" si="2"/>
        <v>3076406255.4700003</v>
      </c>
      <c r="C67" s="387">
        <v>798847137.44000018</v>
      </c>
      <c r="D67" s="387">
        <v>480598410.07000005</v>
      </c>
      <c r="E67" s="387">
        <v>675950075.14999986</v>
      </c>
      <c r="F67" s="387">
        <v>710015971.92000008</v>
      </c>
      <c r="G67" s="387">
        <v>367257743.76999998</v>
      </c>
      <c r="H67" s="387">
        <v>19071034.609999999</v>
      </c>
      <c r="I67" s="387">
        <v>4429610.2799999993</v>
      </c>
      <c r="J67" s="387">
        <v>0</v>
      </c>
      <c r="K67" s="387">
        <v>0</v>
      </c>
      <c r="L67" s="387">
        <v>0</v>
      </c>
      <c r="M67" s="387">
        <v>7523008.25</v>
      </c>
      <c r="N67" s="448">
        <v>12713263.98</v>
      </c>
      <c r="O67" s="54"/>
    </row>
    <row r="68" spans="1:15" ht="14.5" x14ac:dyDescent="0.35">
      <c r="A68" s="154" t="s">
        <v>37</v>
      </c>
      <c r="B68" s="387">
        <f t="shared" si="2"/>
        <v>273308579.16999996</v>
      </c>
      <c r="C68" s="387">
        <v>80914801.900000006</v>
      </c>
      <c r="D68" s="387">
        <v>56696730.57</v>
      </c>
      <c r="E68" s="387">
        <v>41774960.759999998</v>
      </c>
      <c r="F68" s="387">
        <v>71744247.939999998</v>
      </c>
      <c r="G68" s="387">
        <v>19403599</v>
      </c>
      <c r="H68" s="387">
        <v>2774239</v>
      </c>
      <c r="I68" s="387">
        <v>0</v>
      </c>
      <c r="J68" s="387">
        <v>0</v>
      </c>
      <c r="K68" s="387">
        <v>0</v>
      </c>
      <c r="L68" s="387">
        <v>0</v>
      </c>
      <c r="M68" s="387">
        <v>0</v>
      </c>
      <c r="N68" s="448">
        <v>0</v>
      </c>
      <c r="O68" s="54"/>
    </row>
    <row r="69" spans="1:15" ht="14.5" x14ac:dyDescent="0.35">
      <c r="A69" s="154" t="s">
        <v>144</v>
      </c>
      <c r="B69" s="387">
        <f t="shared" si="2"/>
        <v>24698938.199999999</v>
      </c>
      <c r="C69" s="387">
        <v>3757814.2</v>
      </c>
      <c r="D69" s="387">
        <v>8794121</v>
      </c>
      <c r="E69" s="387">
        <v>4265427</v>
      </c>
      <c r="F69" s="387">
        <v>7881576</v>
      </c>
      <c r="G69" s="387">
        <v>0</v>
      </c>
      <c r="H69" s="387">
        <v>0</v>
      </c>
      <c r="I69" s="387">
        <v>0</v>
      </c>
      <c r="J69" s="387">
        <v>0</v>
      </c>
      <c r="K69" s="387">
        <v>0</v>
      </c>
      <c r="L69" s="387">
        <v>0</v>
      </c>
      <c r="M69" s="387">
        <v>0</v>
      </c>
      <c r="N69" s="448">
        <v>0</v>
      </c>
      <c r="O69" s="54"/>
    </row>
    <row r="70" spans="1:15" ht="14.5" x14ac:dyDescent="0.35">
      <c r="A70" s="154" t="s">
        <v>38</v>
      </c>
      <c r="B70" s="387">
        <f t="shared" si="2"/>
        <v>27257118.84</v>
      </c>
      <c r="C70" s="387">
        <v>8119969.4100000001</v>
      </c>
      <c r="D70" s="387">
        <v>3507777.76</v>
      </c>
      <c r="E70" s="387">
        <v>3475627.67</v>
      </c>
      <c r="F70" s="387">
        <v>5932272</v>
      </c>
      <c r="G70" s="387">
        <v>1318199</v>
      </c>
      <c r="H70" s="387">
        <v>2657012</v>
      </c>
      <c r="I70" s="387">
        <v>974580</v>
      </c>
      <c r="J70" s="387">
        <v>1271681</v>
      </c>
      <c r="K70" s="387">
        <v>0</v>
      </c>
      <c r="L70" s="387">
        <v>0</v>
      </c>
      <c r="M70" s="387">
        <v>0</v>
      </c>
      <c r="N70" s="448">
        <v>0</v>
      </c>
      <c r="O70" s="54"/>
    </row>
    <row r="71" spans="1:15" ht="14.5" x14ac:dyDescent="0.35">
      <c r="A71" s="154" t="s">
        <v>39</v>
      </c>
      <c r="B71" s="387">
        <f t="shared" si="2"/>
        <v>8055553.4299999997</v>
      </c>
      <c r="C71" s="387">
        <v>1699423.43</v>
      </c>
      <c r="D71" s="387">
        <v>0</v>
      </c>
      <c r="E71" s="387">
        <v>3301195</v>
      </c>
      <c r="F71" s="387">
        <v>3054935</v>
      </c>
      <c r="G71" s="387">
        <v>0</v>
      </c>
      <c r="H71" s="387">
        <v>0</v>
      </c>
      <c r="I71" s="387">
        <v>0</v>
      </c>
      <c r="J71" s="387">
        <v>0</v>
      </c>
      <c r="K71" s="387">
        <v>0</v>
      </c>
      <c r="L71" s="387">
        <v>0</v>
      </c>
      <c r="M71" s="387">
        <v>0</v>
      </c>
      <c r="N71" s="448">
        <v>0</v>
      </c>
      <c r="O71" s="54"/>
    </row>
    <row r="72" spans="1:15" ht="14.5" x14ac:dyDescent="0.35">
      <c r="A72" s="154" t="s">
        <v>40</v>
      </c>
      <c r="B72" s="387">
        <f t="shared" si="2"/>
        <v>2179099834.6499996</v>
      </c>
      <c r="C72" s="387">
        <v>590888411.33999991</v>
      </c>
      <c r="D72" s="387">
        <v>315432473.73000008</v>
      </c>
      <c r="E72" s="387">
        <v>451703676.44999999</v>
      </c>
      <c r="F72" s="387">
        <v>602101789.35000002</v>
      </c>
      <c r="G72" s="387">
        <v>202030501.45000002</v>
      </c>
      <c r="H72" s="387">
        <v>3300196.33</v>
      </c>
      <c r="I72" s="387">
        <v>1944355</v>
      </c>
      <c r="J72" s="387">
        <v>0</v>
      </c>
      <c r="K72" s="387">
        <v>2850000</v>
      </c>
      <c r="L72" s="387">
        <v>0</v>
      </c>
      <c r="M72" s="387">
        <v>0</v>
      </c>
      <c r="N72" s="448">
        <v>8848431</v>
      </c>
      <c r="O72" s="54"/>
    </row>
    <row r="73" spans="1:15" ht="14.5" x14ac:dyDescent="0.35">
      <c r="A73" s="154" t="s">
        <v>41</v>
      </c>
      <c r="B73" s="387">
        <f t="shared" si="2"/>
        <v>42232244.390000001</v>
      </c>
      <c r="C73" s="387">
        <v>7774523.4699999997</v>
      </c>
      <c r="D73" s="387">
        <v>9995182</v>
      </c>
      <c r="E73" s="387">
        <v>9307430</v>
      </c>
      <c r="F73" s="387">
        <v>15155108.92</v>
      </c>
      <c r="G73" s="387">
        <v>0</v>
      </c>
      <c r="H73" s="387">
        <v>0</v>
      </c>
      <c r="I73" s="387">
        <v>0</v>
      </c>
      <c r="J73" s="387">
        <v>0</v>
      </c>
      <c r="K73" s="387">
        <v>0</v>
      </c>
      <c r="L73" s="387">
        <v>0</v>
      </c>
      <c r="M73" s="387">
        <v>0</v>
      </c>
      <c r="N73" s="448">
        <v>0</v>
      </c>
      <c r="O73" s="54"/>
    </row>
    <row r="74" spans="1:15" ht="14.5" x14ac:dyDescent="0.35">
      <c r="A74" s="154" t="s">
        <v>145</v>
      </c>
      <c r="B74" s="387">
        <f t="shared" si="2"/>
        <v>16452314.280000001</v>
      </c>
      <c r="C74" s="387">
        <v>5905289.1200000001</v>
      </c>
      <c r="D74" s="387">
        <v>0</v>
      </c>
      <c r="E74" s="387">
        <v>10547025.16</v>
      </c>
      <c r="F74" s="387">
        <v>0</v>
      </c>
      <c r="G74" s="387">
        <v>0</v>
      </c>
      <c r="H74" s="387">
        <v>0</v>
      </c>
      <c r="I74" s="387">
        <v>0</v>
      </c>
      <c r="J74" s="387">
        <v>0</v>
      </c>
      <c r="K74" s="387">
        <v>0</v>
      </c>
      <c r="L74" s="387">
        <v>0</v>
      </c>
      <c r="M74" s="387">
        <v>0</v>
      </c>
      <c r="N74" s="448">
        <v>0</v>
      </c>
      <c r="O74" s="54"/>
    </row>
    <row r="75" spans="1:15" ht="15" thickBot="1" x14ac:dyDescent="0.4">
      <c r="A75" s="154" t="s">
        <v>165</v>
      </c>
      <c r="B75" s="390">
        <f t="shared" si="2"/>
        <v>2752421.13</v>
      </c>
      <c r="C75" s="390">
        <v>1393072</v>
      </c>
      <c r="D75" s="390">
        <v>1359349.13</v>
      </c>
      <c r="E75" s="390">
        <v>0</v>
      </c>
      <c r="F75" s="390">
        <v>0</v>
      </c>
      <c r="G75" s="390">
        <v>0</v>
      </c>
      <c r="H75" s="390">
        <v>0</v>
      </c>
      <c r="I75" s="390">
        <v>0</v>
      </c>
      <c r="J75" s="390">
        <v>0</v>
      </c>
      <c r="K75" s="390">
        <v>0</v>
      </c>
      <c r="L75" s="390">
        <v>0</v>
      </c>
      <c r="M75" s="390">
        <v>0</v>
      </c>
      <c r="N75" s="449">
        <v>0</v>
      </c>
      <c r="O75" s="54"/>
    </row>
    <row r="76" spans="1:15" ht="14" thickTop="1" x14ac:dyDescent="0.3">
      <c r="A76" s="45" t="s">
        <v>1</v>
      </c>
      <c r="B76" s="20">
        <f>SUM(B56:B75)</f>
        <v>7330538015.7300005</v>
      </c>
      <c r="C76" s="20">
        <v>2002374496.6400003</v>
      </c>
      <c r="D76" s="20">
        <v>1211575438.3800001</v>
      </c>
      <c r="E76" s="20">
        <v>1575982215.3200002</v>
      </c>
      <c r="F76" s="20">
        <v>1743393332.9599998</v>
      </c>
      <c r="G76" s="20">
        <v>668058782.22000003</v>
      </c>
      <c r="H76" s="20">
        <v>45107574.939999998</v>
      </c>
      <c r="I76" s="20">
        <v>11414556.09</v>
      </c>
      <c r="J76" s="20">
        <v>5127618</v>
      </c>
      <c r="K76" s="20">
        <v>9593738.5800000001</v>
      </c>
      <c r="L76" s="20">
        <v>0</v>
      </c>
      <c r="M76" s="20">
        <v>7523008.25</v>
      </c>
      <c r="N76" s="20">
        <v>50387254.349999994</v>
      </c>
      <c r="O76" s="54"/>
    </row>
    <row r="77" spans="1:15" x14ac:dyDescent="0.3">
      <c r="A77" s="37"/>
      <c r="B77" s="38"/>
      <c r="C77" s="38"/>
      <c r="D77" s="38"/>
      <c r="E77" s="38"/>
      <c r="F77" s="38"/>
      <c r="G77" s="38"/>
      <c r="H77" s="38"/>
      <c r="I77" s="392"/>
      <c r="J77" s="392"/>
      <c r="K77" s="392"/>
      <c r="L77" s="392"/>
      <c r="M77" s="392"/>
      <c r="N77" s="392"/>
      <c r="O77" s="54"/>
    </row>
    <row r="78" spans="1:15" x14ac:dyDescent="0.3">
      <c r="A78" s="37"/>
      <c r="B78" s="38"/>
      <c r="C78" s="38"/>
      <c r="D78" s="38"/>
      <c r="E78" s="38"/>
      <c r="F78" s="38"/>
      <c r="G78" s="38"/>
      <c r="H78" s="38"/>
      <c r="I78" s="392"/>
      <c r="J78" s="392"/>
      <c r="K78" s="392"/>
      <c r="L78" s="392"/>
      <c r="M78" s="392"/>
      <c r="N78" s="392"/>
      <c r="O78" s="54"/>
    </row>
    <row r="79" spans="1:15" x14ac:dyDescent="0.3">
      <c r="O79" s="54"/>
    </row>
    <row r="80" spans="1:15" x14ac:dyDescent="0.3">
      <c r="A80" s="187" t="s">
        <v>226</v>
      </c>
      <c r="B80" s="187"/>
      <c r="C80" s="187"/>
      <c r="D80" s="187"/>
      <c r="E80" s="187"/>
      <c r="F80" s="187"/>
      <c r="G80" s="187"/>
      <c r="H80" s="187"/>
      <c r="I80" s="187"/>
      <c r="J80" s="187"/>
      <c r="K80" s="187"/>
      <c r="L80" s="187"/>
      <c r="M80" s="187"/>
      <c r="N80" s="187"/>
      <c r="O80" s="5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c r="O81" s="185"/>
    </row>
    <row r="82" spans="1:16" x14ac:dyDescent="0.3">
      <c r="A82" s="12"/>
      <c r="B82" s="11"/>
      <c r="C82" s="13"/>
      <c r="D82" s="13"/>
      <c r="E82" s="17"/>
      <c r="F82" s="13"/>
      <c r="G82" s="13"/>
      <c r="H82" s="13"/>
      <c r="I82" s="13"/>
      <c r="J82" s="13"/>
      <c r="K82" s="13"/>
      <c r="L82" s="13"/>
      <c r="M82" s="13"/>
      <c r="N82" s="13"/>
      <c r="O82" s="54"/>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c r="O83" s="54"/>
    </row>
    <row r="84" spans="1:16" x14ac:dyDescent="0.3">
      <c r="A84" s="41" t="s">
        <v>182</v>
      </c>
      <c r="B84" s="437">
        <f>SUM(C84:N84)</f>
        <v>7326799015.7300005</v>
      </c>
      <c r="C84" s="394">
        <f>+C100-C85-C86-C87</f>
        <v>2002374496.6400003</v>
      </c>
      <c r="D84" s="394">
        <f t="shared" ref="D84:N84" si="3">+D100-D85-D86-D87</f>
        <v>1211575438.3800001</v>
      </c>
      <c r="E84" s="394">
        <f t="shared" si="3"/>
        <v>1572243215.3200002</v>
      </c>
      <c r="F84" s="394">
        <f t="shared" si="3"/>
        <v>1743393332.96</v>
      </c>
      <c r="G84" s="394">
        <f t="shared" si="3"/>
        <v>668058782.22000003</v>
      </c>
      <c r="H84" s="394">
        <f t="shared" si="3"/>
        <v>45107574.939999998</v>
      </c>
      <c r="I84" s="394">
        <f t="shared" si="3"/>
        <v>11414556.09</v>
      </c>
      <c r="J84" s="394">
        <f t="shared" si="3"/>
        <v>5127618</v>
      </c>
      <c r="K84" s="394">
        <f t="shared" si="3"/>
        <v>9593738.5800000001</v>
      </c>
      <c r="L84" s="394">
        <f t="shared" si="3"/>
        <v>0</v>
      </c>
      <c r="M84" s="394">
        <f t="shared" si="3"/>
        <v>7523008.25</v>
      </c>
      <c r="N84" s="394">
        <f t="shared" si="3"/>
        <v>50387254.350000001</v>
      </c>
      <c r="O84" s="54"/>
    </row>
    <row r="85" spans="1:16" x14ac:dyDescent="0.3">
      <c r="A85" s="49" t="s">
        <v>183</v>
      </c>
      <c r="B85" s="397">
        <f t="shared" ref="B85:B87" si="4">SUM(C85:N85)</f>
        <v>3739000</v>
      </c>
      <c r="C85" s="395"/>
      <c r="D85" s="395">
        <v>0</v>
      </c>
      <c r="E85" s="395">
        <v>3739000</v>
      </c>
      <c r="F85" s="395"/>
      <c r="G85" s="395"/>
      <c r="H85" s="395"/>
      <c r="I85" s="398"/>
      <c r="J85" s="398"/>
      <c r="K85" s="398"/>
      <c r="L85" s="398"/>
      <c r="M85" s="398"/>
      <c r="N85" s="398"/>
      <c r="O85" s="399"/>
    </row>
    <row r="86" spans="1:16" x14ac:dyDescent="0.3">
      <c r="A86" s="42" t="s">
        <v>184</v>
      </c>
      <c r="B86" s="397">
        <f t="shared" si="4"/>
        <v>0</v>
      </c>
      <c r="C86" s="400"/>
      <c r="D86" s="400"/>
      <c r="E86" s="401"/>
      <c r="F86" s="395"/>
      <c r="G86" s="395"/>
      <c r="H86" s="395"/>
      <c r="I86" s="398"/>
      <c r="J86" s="398"/>
      <c r="K86" s="398"/>
      <c r="L86" s="398"/>
      <c r="M86" s="398"/>
      <c r="N86" s="402"/>
      <c r="O86" s="54"/>
    </row>
    <row r="87" spans="1:16" ht="14" thickBot="1" x14ac:dyDescent="0.35">
      <c r="A87" s="42" t="s">
        <v>185</v>
      </c>
      <c r="B87" s="397">
        <f t="shared" si="4"/>
        <v>0</v>
      </c>
      <c r="C87" s="400"/>
      <c r="D87" s="400"/>
      <c r="E87" s="401"/>
      <c r="F87" s="395"/>
      <c r="G87" s="395"/>
      <c r="H87" s="395"/>
      <c r="I87" s="398"/>
      <c r="J87" s="398"/>
      <c r="K87" s="398"/>
      <c r="L87" s="398"/>
      <c r="M87" s="398"/>
      <c r="N87" s="402"/>
      <c r="O87" s="54"/>
    </row>
    <row r="88" spans="1:16" ht="14" thickTop="1" x14ac:dyDescent="0.3">
      <c r="A88" s="44" t="s">
        <v>1</v>
      </c>
      <c r="B88" s="22">
        <f t="shared" ref="B88:N88" si="5">SUM(B84:B87)</f>
        <v>7330538015.7300005</v>
      </c>
      <c r="C88" s="22">
        <f t="shared" si="5"/>
        <v>2002374496.6400003</v>
      </c>
      <c r="D88" s="22">
        <f t="shared" si="5"/>
        <v>1211575438.3800001</v>
      </c>
      <c r="E88" s="22">
        <f t="shared" si="5"/>
        <v>1575982215.3200002</v>
      </c>
      <c r="F88" s="22">
        <f t="shared" si="5"/>
        <v>1743393332.96</v>
      </c>
      <c r="G88" s="22">
        <f t="shared" si="5"/>
        <v>668058782.22000003</v>
      </c>
      <c r="H88" s="22">
        <f t="shared" si="5"/>
        <v>45107574.939999998</v>
      </c>
      <c r="I88" s="22">
        <f t="shared" si="5"/>
        <v>11414556.09</v>
      </c>
      <c r="J88" s="22">
        <f t="shared" si="5"/>
        <v>5127618</v>
      </c>
      <c r="K88" s="22">
        <f t="shared" si="5"/>
        <v>9593738.5800000001</v>
      </c>
      <c r="L88" s="22">
        <f t="shared" si="5"/>
        <v>0</v>
      </c>
      <c r="M88" s="22">
        <f t="shared" si="5"/>
        <v>7523008.25</v>
      </c>
      <c r="N88" s="23">
        <f t="shared" si="5"/>
        <v>50387254.350000001</v>
      </c>
      <c r="O88" s="54"/>
    </row>
    <row r="89" spans="1:16" x14ac:dyDescent="0.3">
      <c r="A89" s="26"/>
      <c r="B89" s="40"/>
      <c r="C89" s="40"/>
      <c r="D89" s="40"/>
      <c r="E89" s="40"/>
      <c r="F89" s="40"/>
      <c r="G89" s="40"/>
      <c r="H89" s="40"/>
      <c r="I89" s="40"/>
      <c r="J89" s="40"/>
      <c r="K89" s="40"/>
      <c r="L89" s="40"/>
      <c r="M89" s="40"/>
      <c r="N89" s="40"/>
      <c r="O89" s="54"/>
    </row>
    <row r="90" spans="1:16" x14ac:dyDescent="0.3">
      <c r="O90" s="54"/>
    </row>
    <row r="91" spans="1:16" x14ac:dyDescent="0.3">
      <c r="A91" s="187" t="s">
        <v>227</v>
      </c>
      <c r="B91" s="187"/>
      <c r="C91" s="187"/>
      <c r="D91" s="187"/>
      <c r="E91" s="187"/>
      <c r="F91" s="187"/>
      <c r="G91" s="187"/>
      <c r="H91" s="187"/>
      <c r="I91" s="187"/>
      <c r="J91" s="187"/>
      <c r="K91" s="187"/>
      <c r="L91" s="187"/>
      <c r="M91" s="187"/>
      <c r="N91" s="187"/>
      <c r="O91" s="5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c r="O92" s="54"/>
    </row>
    <row r="93" spans="1:16" x14ac:dyDescent="0.3">
      <c r="A93" s="46"/>
      <c r="B93" s="11"/>
      <c r="C93" s="13"/>
      <c r="D93" s="13"/>
      <c r="E93" s="17"/>
      <c r="F93" s="13"/>
      <c r="G93" s="13"/>
      <c r="H93" s="13"/>
      <c r="I93" s="13"/>
      <c r="J93" s="13"/>
      <c r="K93" s="13"/>
      <c r="L93" s="13"/>
      <c r="M93" s="13"/>
      <c r="N93" s="13"/>
      <c r="O93" s="185"/>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c r="O94" s="54"/>
    </row>
    <row r="95" spans="1:16" x14ac:dyDescent="0.3">
      <c r="A95" s="42" t="s">
        <v>62</v>
      </c>
      <c r="B95" s="393">
        <f>SUM(C95:N95)</f>
        <v>610842743.97000003</v>
      </c>
      <c r="C95" s="403">
        <v>94151279.030000001</v>
      </c>
      <c r="D95" s="404">
        <v>73153465.289999992</v>
      </c>
      <c r="E95" s="404">
        <v>151233171.63</v>
      </c>
      <c r="F95" s="404">
        <v>156057810.01999998</v>
      </c>
      <c r="G95" s="404">
        <v>133357639</v>
      </c>
      <c r="H95" s="405">
        <v>0</v>
      </c>
      <c r="I95" s="406">
        <v>0</v>
      </c>
      <c r="J95" s="397">
        <v>0</v>
      </c>
      <c r="K95" s="393">
        <v>0</v>
      </c>
      <c r="L95" s="407"/>
      <c r="M95" s="407">
        <v>0</v>
      </c>
      <c r="N95" s="393">
        <v>2889379</v>
      </c>
      <c r="O95" s="54"/>
    </row>
    <row r="96" spans="1:16" x14ac:dyDescent="0.3">
      <c r="A96" s="42" t="s">
        <v>63</v>
      </c>
      <c r="B96" s="397">
        <f t="shared" ref="B96:B99" si="6">SUM(C96:N96)</f>
        <v>1482446680.5600002</v>
      </c>
      <c r="C96" s="408">
        <v>264986564.00999996</v>
      </c>
      <c r="D96" s="405">
        <v>222643015.88</v>
      </c>
      <c r="E96" s="405">
        <v>330075323.89999998</v>
      </c>
      <c r="F96" s="405">
        <v>486404206.36000001</v>
      </c>
      <c r="G96" s="405">
        <v>155794627.17000002</v>
      </c>
      <c r="H96" s="405">
        <v>7950933.3300000001</v>
      </c>
      <c r="I96" s="406">
        <v>3345662</v>
      </c>
      <c r="J96" s="397">
        <v>0</v>
      </c>
      <c r="K96" s="397">
        <v>0</v>
      </c>
      <c r="L96" s="406"/>
      <c r="M96" s="406">
        <v>0</v>
      </c>
      <c r="N96" s="397">
        <v>11246347.91</v>
      </c>
      <c r="O96" s="54"/>
    </row>
    <row r="97" spans="1:15" x14ac:dyDescent="0.3">
      <c r="A97" s="42" t="s">
        <v>64</v>
      </c>
      <c r="B97" s="397">
        <f t="shared" si="6"/>
        <v>1586855423.46</v>
      </c>
      <c r="C97" s="408">
        <v>321911613.28000003</v>
      </c>
      <c r="D97" s="405">
        <v>244202566.35000002</v>
      </c>
      <c r="E97" s="405">
        <v>373753000.50999999</v>
      </c>
      <c r="F97" s="405">
        <v>429916250.31999999</v>
      </c>
      <c r="G97" s="405">
        <v>190436913</v>
      </c>
      <c r="H97" s="405">
        <v>14345175</v>
      </c>
      <c r="I97" s="406">
        <v>974580</v>
      </c>
      <c r="J97" s="397">
        <v>1271681</v>
      </c>
      <c r="K97" s="397">
        <v>2850000</v>
      </c>
      <c r="L97" s="406"/>
      <c r="M97" s="406">
        <v>0</v>
      </c>
      <c r="N97" s="397">
        <v>7193644</v>
      </c>
      <c r="O97" s="54"/>
    </row>
    <row r="98" spans="1:15" x14ac:dyDescent="0.3">
      <c r="A98" s="42" t="s">
        <v>65</v>
      </c>
      <c r="B98" s="397">
        <f t="shared" si="6"/>
        <v>1738468565.2199996</v>
      </c>
      <c r="C98" s="408">
        <v>506553523.32999998</v>
      </c>
      <c r="D98" s="405">
        <v>299460914.28999996</v>
      </c>
      <c r="E98" s="405">
        <v>342853485.74999988</v>
      </c>
      <c r="F98" s="405">
        <v>409908791.69999993</v>
      </c>
      <c r="G98" s="405">
        <v>133012530.73999999</v>
      </c>
      <c r="H98" s="405">
        <v>14164399.539999999</v>
      </c>
      <c r="I98" s="406">
        <v>1944355</v>
      </c>
      <c r="J98" s="397">
        <v>3855937</v>
      </c>
      <c r="K98" s="397">
        <v>4510242.58</v>
      </c>
      <c r="L98" s="406"/>
      <c r="M98" s="406">
        <v>7523008.25</v>
      </c>
      <c r="N98" s="397">
        <v>14681377.040000001</v>
      </c>
      <c r="O98" s="54"/>
    </row>
    <row r="99" spans="1:15" ht="14" thickBot="1" x14ac:dyDescent="0.35">
      <c r="A99" s="43" t="s">
        <v>66</v>
      </c>
      <c r="B99" s="409">
        <f t="shared" si="6"/>
        <v>1911924602.5200005</v>
      </c>
      <c r="C99" s="410">
        <v>814771516.99000037</v>
      </c>
      <c r="D99" s="410">
        <v>372115476.57000011</v>
      </c>
      <c r="E99" s="410">
        <v>378067233.53000015</v>
      </c>
      <c r="F99" s="410">
        <v>261106274.56</v>
      </c>
      <c r="G99" s="410">
        <v>55457072.310000002</v>
      </c>
      <c r="H99" s="410">
        <v>8647067.0700000003</v>
      </c>
      <c r="I99" s="411">
        <v>5149959.09</v>
      </c>
      <c r="J99" s="409">
        <v>0</v>
      </c>
      <c r="K99" s="409">
        <v>2233496</v>
      </c>
      <c r="L99" s="411"/>
      <c r="M99" s="411">
        <v>0</v>
      </c>
      <c r="N99" s="409">
        <v>14376506.4</v>
      </c>
      <c r="O99" s="54"/>
    </row>
    <row r="100" spans="1:15" ht="14" thickTop="1" x14ac:dyDescent="0.3">
      <c r="A100" s="42" t="s">
        <v>1</v>
      </c>
      <c r="B100" s="412">
        <f>SUM(B95:B99)</f>
        <v>7330538015.7300005</v>
      </c>
      <c r="C100" s="412">
        <f>SUM(C95:C99)</f>
        <v>2002374496.6400003</v>
      </c>
      <c r="D100" s="412">
        <f t="shared" ref="D100:N100" si="7">SUM(D95:D99)</f>
        <v>1211575438.3800001</v>
      </c>
      <c r="E100" s="412">
        <f t="shared" si="7"/>
        <v>1575982215.3200002</v>
      </c>
      <c r="F100" s="412">
        <f t="shared" si="7"/>
        <v>1743393332.96</v>
      </c>
      <c r="G100" s="412">
        <f t="shared" si="7"/>
        <v>668058782.22000003</v>
      </c>
      <c r="H100" s="412">
        <f t="shared" si="7"/>
        <v>45107574.939999998</v>
      </c>
      <c r="I100" s="412">
        <f t="shared" si="7"/>
        <v>11414556.09</v>
      </c>
      <c r="J100" s="412">
        <f t="shared" si="7"/>
        <v>5127618</v>
      </c>
      <c r="K100" s="412">
        <f t="shared" si="7"/>
        <v>9593738.5800000001</v>
      </c>
      <c r="L100" s="412">
        <f t="shared" si="7"/>
        <v>0</v>
      </c>
      <c r="M100" s="412">
        <f t="shared" si="7"/>
        <v>7523008.25</v>
      </c>
      <c r="N100" s="412">
        <f t="shared" si="7"/>
        <v>50387254.350000001</v>
      </c>
      <c r="O100" s="399"/>
    </row>
    <row r="101" spans="1:15" x14ac:dyDescent="0.3">
      <c r="A101" s="26"/>
      <c r="B101" s="413"/>
      <c r="C101" s="413"/>
      <c r="D101" s="413"/>
      <c r="E101" s="413"/>
      <c r="F101" s="413"/>
      <c r="G101" s="413"/>
      <c r="H101" s="413"/>
      <c r="I101" s="413"/>
      <c r="J101" s="413"/>
      <c r="K101" s="413"/>
      <c r="L101" s="413"/>
      <c r="M101" s="413"/>
      <c r="N101" s="413"/>
      <c r="O101" s="55"/>
    </row>
    <row r="102" spans="1:15" x14ac:dyDescent="0.3">
      <c r="A102" s="67"/>
      <c r="O102" s="54"/>
    </row>
    <row r="103" spans="1:15" x14ac:dyDescent="0.3">
      <c r="A103" s="187" t="s">
        <v>228</v>
      </c>
      <c r="B103" s="187"/>
      <c r="C103" s="187"/>
      <c r="D103" s="187"/>
      <c r="E103" s="187"/>
      <c r="F103" s="187"/>
      <c r="G103" s="187"/>
      <c r="H103" s="187"/>
      <c r="I103" s="187"/>
      <c r="J103" s="187"/>
      <c r="K103" s="187"/>
      <c r="L103" s="187"/>
      <c r="M103" s="187"/>
      <c r="N103" s="187"/>
      <c r="O103" s="54"/>
    </row>
    <row r="104" spans="1:15" x14ac:dyDescent="0.3">
      <c r="A104" s="108"/>
      <c r="B104" s="110"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c r="O104" s="54"/>
    </row>
    <row r="105" spans="1:15" x14ac:dyDescent="0.3">
      <c r="A105" s="46"/>
      <c r="B105" s="13"/>
      <c r="C105" s="13"/>
      <c r="D105" s="13"/>
      <c r="E105" s="17"/>
      <c r="F105" s="13"/>
      <c r="G105" s="13"/>
      <c r="H105" s="13"/>
      <c r="I105" s="13"/>
      <c r="J105" s="13"/>
      <c r="K105" s="13"/>
      <c r="L105" s="13"/>
      <c r="M105" s="13"/>
      <c r="N105" s="13"/>
      <c r="O105" s="54"/>
    </row>
    <row r="106" spans="1:15" ht="27" x14ac:dyDescent="0.3">
      <c r="A106" s="47"/>
      <c r="B106" s="15" t="s">
        <v>4</v>
      </c>
      <c r="C106" s="15" t="s">
        <v>4</v>
      </c>
      <c r="D106" s="15" t="s">
        <v>4</v>
      </c>
      <c r="E106" s="14" t="s">
        <v>4</v>
      </c>
      <c r="F106" s="15" t="s">
        <v>4</v>
      </c>
      <c r="G106" s="15" t="s">
        <v>4</v>
      </c>
      <c r="H106" s="15" t="s">
        <v>4</v>
      </c>
      <c r="I106" s="15" t="s">
        <v>4</v>
      </c>
      <c r="J106" s="15" t="s">
        <v>4</v>
      </c>
      <c r="K106" s="15" t="s">
        <v>4</v>
      </c>
      <c r="L106" s="15" t="s">
        <v>4</v>
      </c>
      <c r="M106" s="15" t="s">
        <v>4</v>
      </c>
      <c r="N106" s="15" t="s">
        <v>4</v>
      </c>
      <c r="O106" s="54"/>
    </row>
    <row r="107" spans="1:15" ht="14.5" x14ac:dyDescent="0.35">
      <c r="A107" s="42" t="s">
        <v>201</v>
      </c>
      <c r="B107" s="414">
        <f>SUM(C107:N107)</f>
        <v>7306890511.2000027</v>
      </c>
      <c r="C107" s="414">
        <v>1988689830.6400001</v>
      </c>
      <c r="D107" s="387">
        <v>1207088034.8500004</v>
      </c>
      <c r="E107" s="414">
        <v>1573042215.3200002</v>
      </c>
      <c r="F107" s="387">
        <v>1740857897.9600005</v>
      </c>
      <c r="G107" s="414">
        <v>668058782.22000003</v>
      </c>
      <c r="H107" s="387">
        <v>45107574.939999998</v>
      </c>
      <c r="I107" s="414">
        <v>11414556.09</v>
      </c>
      <c r="J107" s="387">
        <v>5127618</v>
      </c>
      <c r="K107" s="414">
        <v>9593738.5800000001</v>
      </c>
      <c r="L107" s="387">
        <v>0</v>
      </c>
      <c r="M107" s="414">
        <v>7523008.25</v>
      </c>
      <c r="N107" s="387">
        <v>50387254.350000001</v>
      </c>
      <c r="O107" s="54"/>
    </row>
    <row r="108" spans="1:15" ht="14.5" x14ac:dyDescent="0.35">
      <c r="A108" s="42" t="s">
        <v>202</v>
      </c>
      <c r="B108" s="415">
        <f t="shared" ref="B108:B109" si="8">SUM(C108:N108)</f>
        <v>19462080.530000001</v>
      </c>
      <c r="C108" s="415">
        <v>9499242</v>
      </c>
      <c r="D108" s="387">
        <v>4487403.53</v>
      </c>
      <c r="E108" s="415">
        <v>2940000</v>
      </c>
      <c r="F108" s="387">
        <v>2535435</v>
      </c>
      <c r="G108" s="415">
        <v>0</v>
      </c>
      <c r="H108" s="387">
        <v>0</v>
      </c>
      <c r="I108" s="415">
        <v>0</v>
      </c>
      <c r="J108" s="387">
        <v>0</v>
      </c>
      <c r="K108" s="415">
        <v>0</v>
      </c>
      <c r="L108" s="387">
        <v>0</v>
      </c>
      <c r="M108" s="415">
        <v>0</v>
      </c>
      <c r="N108" s="387">
        <v>0</v>
      </c>
      <c r="O108" s="54"/>
    </row>
    <row r="109" spans="1:15" x14ac:dyDescent="0.3">
      <c r="A109" s="42" t="s">
        <v>58</v>
      </c>
      <c r="B109" s="416">
        <f t="shared" si="8"/>
        <v>4185424</v>
      </c>
      <c r="C109" s="416">
        <v>4185424</v>
      </c>
      <c r="D109" s="417">
        <v>0</v>
      </c>
      <c r="E109" s="416">
        <v>0</v>
      </c>
      <c r="F109" s="417">
        <v>0</v>
      </c>
      <c r="G109" s="416">
        <v>0</v>
      </c>
      <c r="H109" s="418">
        <v>0</v>
      </c>
      <c r="I109" s="419">
        <v>0</v>
      </c>
      <c r="J109" s="420">
        <v>0</v>
      </c>
      <c r="K109" s="419">
        <v>0</v>
      </c>
      <c r="L109" s="420">
        <v>0</v>
      </c>
      <c r="M109" s="419">
        <v>0</v>
      </c>
      <c r="N109" s="421">
        <v>0</v>
      </c>
      <c r="O109" s="54"/>
    </row>
    <row r="110" spans="1:15" ht="14" thickBot="1" x14ac:dyDescent="0.35">
      <c r="A110" s="43" t="s">
        <v>203</v>
      </c>
      <c r="B110" s="422">
        <v>0</v>
      </c>
      <c r="C110" s="422">
        <v>0</v>
      </c>
      <c r="D110" s="417">
        <v>0</v>
      </c>
      <c r="E110" s="422">
        <v>0</v>
      </c>
      <c r="F110" s="417">
        <v>0</v>
      </c>
      <c r="G110" s="422">
        <v>0</v>
      </c>
      <c r="H110" s="418">
        <v>0</v>
      </c>
      <c r="I110" s="423">
        <v>0</v>
      </c>
      <c r="J110" s="420">
        <v>0</v>
      </c>
      <c r="K110" s="423">
        <v>0</v>
      </c>
      <c r="L110" s="420">
        <v>0</v>
      </c>
      <c r="M110" s="423">
        <v>0</v>
      </c>
      <c r="N110" s="424">
        <v>0</v>
      </c>
      <c r="O110" s="54"/>
    </row>
    <row r="111" spans="1:15" ht="14" thickTop="1" x14ac:dyDescent="0.3">
      <c r="A111" s="42" t="s">
        <v>1</v>
      </c>
      <c r="B111" s="97">
        <f>SUM(B107:B110)</f>
        <v>7330538015.7300024</v>
      </c>
      <c r="C111" s="97">
        <f>SUM(C107:C110)</f>
        <v>2002374496.6400001</v>
      </c>
      <c r="D111" s="97">
        <f t="shared" ref="D111:N111" si="9">SUM(D107:D110)</f>
        <v>1211575438.3800004</v>
      </c>
      <c r="E111" s="97">
        <f t="shared" si="9"/>
        <v>1575982215.3200002</v>
      </c>
      <c r="F111" s="97">
        <f t="shared" si="9"/>
        <v>1743393332.9600005</v>
      </c>
      <c r="G111" s="97">
        <f t="shared" si="9"/>
        <v>668058782.22000003</v>
      </c>
      <c r="H111" s="97">
        <f t="shared" si="9"/>
        <v>45107574.939999998</v>
      </c>
      <c r="I111" s="97">
        <f t="shared" si="9"/>
        <v>11414556.09</v>
      </c>
      <c r="J111" s="97">
        <f t="shared" si="9"/>
        <v>5127618</v>
      </c>
      <c r="K111" s="97">
        <f t="shared" si="9"/>
        <v>9593738.5800000001</v>
      </c>
      <c r="L111" s="97">
        <f t="shared" si="9"/>
        <v>0</v>
      </c>
      <c r="M111" s="97">
        <f t="shared" si="9"/>
        <v>7523008.25</v>
      </c>
      <c r="N111" s="97">
        <f t="shared" si="9"/>
        <v>50387254.350000001</v>
      </c>
      <c r="O111" s="54"/>
    </row>
    <row r="112" spans="1:15" x14ac:dyDescent="0.3">
      <c r="A112" s="26"/>
      <c r="B112" s="99"/>
      <c r="C112" s="99"/>
      <c r="D112" s="99"/>
      <c r="E112" s="99"/>
      <c r="F112" s="99"/>
      <c r="G112" s="99"/>
      <c r="H112" s="99"/>
      <c r="I112" s="99"/>
      <c r="J112" s="99"/>
      <c r="K112" s="99"/>
      <c r="L112" s="99"/>
      <c r="M112" s="99"/>
      <c r="N112" s="99"/>
    </row>
    <row r="114" spans="1:15" x14ac:dyDescent="0.3">
      <c r="A114" s="187" t="s">
        <v>229</v>
      </c>
      <c r="B114" s="187"/>
      <c r="C114" s="187"/>
      <c r="D114" s="187"/>
      <c r="E114" s="187"/>
      <c r="F114" s="187"/>
      <c r="G114" s="187"/>
      <c r="H114" s="187"/>
      <c r="I114" s="187"/>
      <c r="J114" s="187"/>
      <c r="K114" s="187"/>
      <c r="L114" s="187"/>
      <c r="M114" s="187"/>
      <c r="N114" s="187"/>
      <c r="O114" s="5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c r="O115" s="54"/>
    </row>
    <row r="116" spans="1:15" x14ac:dyDescent="0.3">
      <c r="A116" s="48"/>
      <c r="B116" s="11"/>
      <c r="C116" s="13"/>
      <c r="D116" s="13"/>
      <c r="E116" s="17"/>
      <c r="F116" s="13"/>
      <c r="G116" s="13"/>
      <c r="H116" s="13"/>
      <c r="I116" s="13"/>
      <c r="J116" s="13"/>
      <c r="K116" s="13"/>
      <c r="L116" s="13"/>
      <c r="M116" s="13"/>
      <c r="N116" s="13"/>
      <c r="O116" s="54"/>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c r="O117" s="54"/>
    </row>
    <row r="118" spans="1:15" x14ac:dyDescent="0.3">
      <c r="A118" s="42" t="s">
        <v>57</v>
      </c>
      <c r="B118" s="394">
        <f>SUM(C118:N118)</f>
        <v>7330538015.7300014</v>
      </c>
      <c r="C118" s="394">
        <v>2002374496.6400001</v>
      </c>
      <c r="D118" s="394">
        <v>1211575438.3800004</v>
      </c>
      <c r="E118" s="394">
        <v>1575982215.3200002</v>
      </c>
      <c r="F118" s="394">
        <v>1743393332.9600005</v>
      </c>
      <c r="G118" s="394">
        <v>668058782.22000003</v>
      </c>
      <c r="H118" s="394">
        <v>45107574.939999998</v>
      </c>
      <c r="I118" s="396">
        <v>11414556.09</v>
      </c>
      <c r="J118" s="396">
        <v>5127618</v>
      </c>
      <c r="K118" s="396">
        <v>9593738.5800000001</v>
      </c>
      <c r="L118" s="396">
        <v>0</v>
      </c>
      <c r="M118" s="396">
        <v>7523008.25</v>
      </c>
      <c r="N118" s="396">
        <v>50387254.350000001</v>
      </c>
      <c r="O118" s="399"/>
    </row>
    <row r="119" spans="1:15" x14ac:dyDescent="0.3">
      <c r="A119" s="42" t="s">
        <v>67</v>
      </c>
      <c r="B119" s="100"/>
      <c r="C119" s="417"/>
      <c r="D119" s="417"/>
      <c r="E119" s="417"/>
      <c r="F119" s="417"/>
      <c r="G119" s="417"/>
      <c r="H119" s="417"/>
      <c r="I119" s="425"/>
      <c r="J119" s="425"/>
      <c r="K119" s="425"/>
      <c r="L119" s="425"/>
      <c r="M119" s="425"/>
      <c r="N119" s="425"/>
      <c r="O119" s="399"/>
    </row>
    <row r="120" spans="1:15" x14ac:dyDescent="0.3">
      <c r="A120" s="42" t="s">
        <v>68</v>
      </c>
      <c r="B120" s="100"/>
      <c r="C120" s="417"/>
      <c r="D120" s="417"/>
      <c r="E120" s="417"/>
      <c r="F120" s="417"/>
      <c r="G120" s="417"/>
      <c r="H120" s="417"/>
      <c r="I120" s="425"/>
      <c r="J120" s="425"/>
      <c r="K120" s="425"/>
      <c r="L120" s="425"/>
      <c r="M120" s="425"/>
      <c r="N120" s="425"/>
      <c r="O120" s="399"/>
    </row>
    <row r="121" spans="1:15" ht="14" thickBot="1" x14ac:dyDescent="0.35">
      <c r="A121" s="43" t="s">
        <v>69</v>
      </c>
      <c r="B121" s="93"/>
      <c r="C121" s="426"/>
      <c r="D121" s="426"/>
      <c r="E121" s="426"/>
      <c r="F121" s="426"/>
      <c r="G121" s="426"/>
      <c r="H121" s="426"/>
      <c r="I121" s="427"/>
      <c r="J121" s="427"/>
      <c r="K121" s="427"/>
      <c r="L121" s="427"/>
      <c r="M121" s="427"/>
      <c r="N121" s="427"/>
      <c r="O121" s="399"/>
    </row>
    <row r="122" spans="1:15" ht="14" thickTop="1" x14ac:dyDescent="0.3">
      <c r="A122" s="42" t="s">
        <v>1</v>
      </c>
      <c r="B122" s="97">
        <f>SUM(B118:B121)</f>
        <v>7330538015.7300014</v>
      </c>
      <c r="C122" s="97">
        <f>SUM(C118:C121)</f>
        <v>2002374496.6400001</v>
      </c>
      <c r="D122" s="97">
        <f t="shared" ref="D122:N122" si="10">SUM(D118:D121)</f>
        <v>1211575438.3800004</v>
      </c>
      <c r="E122" s="97">
        <f t="shared" si="10"/>
        <v>1575982215.3200002</v>
      </c>
      <c r="F122" s="97">
        <f t="shared" si="10"/>
        <v>1743393332.9600005</v>
      </c>
      <c r="G122" s="97">
        <f t="shared" si="10"/>
        <v>668058782.22000003</v>
      </c>
      <c r="H122" s="97">
        <f t="shared" si="10"/>
        <v>45107574.939999998</v>
      </c>
      <c r="I122" s="97">
        <f t="shared" si="10"/>
        <v>11414556.09</v>
      </c>
      <c r="J122" s="97">
        <f t="shared" si="10"/>
        <v>5127618</v>
      </c>
      <c r="K122" s="97">
        <f t="shared" si="10"/>
        <v>9593738.5800000001</v>
      </c>
      <c r="L122" s="97">
        <f t="shared" si="10"/>
        <v>0</v>
      </c>
      <c r="M122" s="97">
        <f t="shared" si="10"/>
        <v>7523008.25</v>
      </c>
      <c r="N122" s="97">
        <f t="shared" si="10"/>
        <v>50387254.350000001</v>
      </c>
      <c r="O122" s="399"/>
    </row>
    <row r="123" spans="1:15" x14ac:dyDescent="0.3">
      <c r="A123" s="26"/>
      <c r="B123" s="99"/>
      <c r="C123" s="99"/>
      <c r="D123" s="99"/>
      <c r="E123" s="99"/>
      <c r="F123" s="99"/>
      <c r="G123" s="99"/>
      <c r="H123" s="99"/>
      <c r="I123" s="99"/>
      <c r="J123" s="99"/>
      <c r="K123" s="99"/>
      <c r="L123" s="99"/>
      <c r="M123" s="99"/>
      <c r="N123" s="99"/>
      <c r="O123" s="55"/>
    </row>
    <row r="124" spans="1:15" x14ac:dyDescent="0.3">
      <c r="O124" s="54"/>
    </row>
    <row r="125" spans="1:15" x14ac:dyDescent="0.3">
      <c r="A125" s="187" t="s">
        <v>230</v>
      </c>
      <c r="B125" s="187"/>
      <c r="C125" s="187"/>
      <c r="D125" s="187"/>
      <c r="E125" s="187"/>
      <c r="F125" s="187"/>
      <c r="G125" s="187"/>
      <c r="H125" s="187"/>
      <c r="I125" s="187"/>
      <c r="J125" s="54"/>
    </row>
    <row r="126" spans="1:15" ht="40.5" x14ac:dyDescent="0.3">
      <c r="A126" s="109" t="s">
        <v>50</v>
      </c>
      <c r="B126" s="109" t="s">
        <v>51</v>
      </c>
      <c r="C126" s="149" t="s">
        <v>204</v>
      </c>
      <c r="D126" s="149" t="s">
        <v>59</v>
      </c>
      <c r="E126" s="149" t="s">
        <v>61</v>
      </c>
      <c r="F126" s="149" t="s">
        <v>53</v>
      </c>
      <c r="G126" s="150" t="s">
        <v>60</v>
      </c>
      <c r="H126" s="151" t="s">
        <v>54</v>
      </c>
      <c r="I126" s="150" t="s">
        <v>55</v>
      </c>
      <c r="J126" s="54"/>
    </row>
    <row r="127" spans="1:15" x14ac:dyDescent="0.3">
      <c r="A127" s="42" t="s">
        <v>164</v>
      </c>
      <c r="B127" s="70" t="s">
        <v>3</v>
      </c>
      <c r="C127" s="419">
        <v>664000000</v>
      </c>
      <c r="D127" s="277">
        <f>E127-365</f>
        <v>43242</v>
      </c>
      <c r="E127" s="277">
        <v>43607</v>
      </c>
      <c r="F127" s="101" t="s">
        <v>56</v>
      </c>
      <c r="G127" s="101" t="s">
        <v>108</v>
      </c>
      <c r="H127" s="277">
        <v>41355</v>
      </c>
      <c r="I127" s="143">
        <v>9</v>
      </c>
      <c r="J127" s="54"/>
    </row>
    <row r="128" spans="1:15" x14ac:dyDescent="0.3">
      <c r="A128" s="42" t="s">
        <v>200</v>
      </c>
      <c r="B128" s="70" t="s">
        <v>3</v>
      </c>
      <c r="C128" s="419">
        <v>650000000</v>
      </c>
      <c r="D128" s="309">
        <v>43438</v>
      </c>
      <c r="E128" s="309">
        <v>43803</v>
      </c>
      <c r="F128" s="143" t="s">
        <v>58</v>
      </c>
      <c r="G128" s="143" t="s">
        <v>109</v>
      </c>
      <c r="H128" s="309">
        <v>41521</v>
      </c>
      <c r="I128" s="143">
        <v>11</v>
      </c>
      <c r="J128" s="54"/>
    </row>
    <row r="129" spans="1:14" x14ac:dyDescent="0.3">
      <c r="A129" s="42" t="s">
        <v>206</v>
      </c>
      <c r="B129" s="70" t="s">
        <v>3</v>
      </c>
      <c r="C129" s="419">
        <v>2000000000</v>
      </c>
      <c r="D129" s="277">
        <v>43640</v>
      </c>
      <c r="E129" s="277">
        <v>44006</v>
      </c>
      <c r="F129" s="101" t="s">
        <v>56</v>
      </c>
      <c r="G129" s="101" t="s">
        <v>108</v>
      </c>
      <c r="H129" s="309">
        <v>41663</v>
      </c>
      <c r="I129" s="143">
        <v>12</v>
      </c>
      <c r="J129" s="54"/>
    </row>
    <row r="130" spans="1:14" x14ac:dyDescent="0.3">
      <c r="A130" s="42" t="s">
        <v>207</v>
      </c>
      <c r="B130" s="70" t="s">
        <v>3</v>
      </c>
      <c r="C130" s="419">
        <v>2000000000</v>
      </c>
      <c r="D130" s="277">
        <v>44315</v>
      </c>
      <c r="E130" s="277">
        <v>44680</v>
      </c>
      <c r="F130" s="101" t="s">
        <v>56</v>
      </c>
      <c r="G130" s="101" t="s">
        <v>108</v>
      </c>
      <c r="H130" s="309">
        <v>41521</v>
      </c>
      <c r="I130" s="143">
        <v>13</v>
      </c>
      <c r="J130" s="54"/>
    </row>
    <row r="131" spans="1:14" x14ac:dyDescent="0.3">
      <c r="A131" s="42" t="s">
        <v>250</v>
      </c>
      <c r="B131" s="70" t="s">
        <v>3</v>
      </c>
      <c r="C131" s="425">
        <v>200000000</v>
      </c>
      <c r="D131" s="277">
        <v>44522</v>
      </c>
      <c r="E131" s="277">
        <v>44887</v>
      </c>
      <c r="F131" s="101" t="s">
        <v>58</v>
      </c>
      <c r="G131" s="101" t="s">
        <v>109</v>
      </c>
      <c r="H131" s="309">
        <v>42696</v>
      </c>
      <c r="I131" s="143">
        <v>14</v>
      </c>
      <c r="J131" s="54"/>
    </row>
    <row r="132" spans="1:14" ht="14" thickBot="1" x14ac:dyDescent="0.35">
      <c r="A132" s="43" t="s">
        <v>251</v>
      </c>
      <c r="B132" s="169" t="s">
        <v>3</v>
      </c>
      <c r="C132" s="427">
        <v>1175000000</v>
      </c>
      <c r="D132" s="275">
        <v>44708</v>
      </c>
      <c r="E132" s="275">
        <v>45073</v>
      </c>
      <c r="F132" s="172" t="s">
        <v>56</v>
      </c>
      <c r="G132" s="171" t="s">
        <v>108</v>
      </c>
      <c r="H132" s="278">
        <v>42913</v>
      </c>
      <c r="I132" s="172">
        <v>15</v>
      </c>
      <c r="J132" s="54"/>
    </row>
    <row r="133" spans="1:14" ht="14" thickTop="1" x14ac:dyDescent="0.3">
      <c r="A133" s="26"/>
      <c r="B133" s="67"/>
      <c r="C133" s="367">
        <f>SUM(C127:C132)</f>
        <v>6689000000</v>
      </c>
      <c r="D133" s="429"/>
      <c r="E133" s="429"/>
      <c r="F133" s="105"/>
      <c r="G133" s="105"/>
      <c r="H133" s="429"/>
      <c r="I133" s="105"/>
      <c r="J133" s="54"/>
    </row>
    <row r="134" spans="1:14" s="67" customFormat="1" x14ac:dyDescent="0.3">
      <c r="A134" s="26"/>
      <c r="C134" s="420"/>
      <c r="D134" s="102"/>
      <c r="E134" s="102"/>
      <c r="F134" s="105"/>
      <c r="I134" s="102"/>
    </row>
    <row r="135" spans="1:14" s="67" customFormat="1" x14ac:dyDescent="0.3">
      <c r="A135" s="26"/>
      <c r="C135" s="420"/>
      <c r="D135" s="102"/>
      <c r="E135" s="102"/>
      <c r="F135" s="105"/>
      <c r="H135" s="55"/>
      <c r="I135" s="441"/>
      <c r="J135" s="55"/>
      <c r="K135" s="55"/>
      <c r="L135" s="55"/>
      <c r="M135" s="55"/>
      <c r="N135" s="55"/>
    </row>
    <row r="136" spans="1:14" s="67" customFormat="1" x14ac:dyDescent="0.3">
      <c r="A136" s="187" t="s">
        <v>231</v>
      </c>
      <c r="B136" s="187"/>
      <c r="C136" s="187"/>
      <c r="D136" s="187"/>
      <c r="E136" s="187"/>
      <c r="F136" s="187"/>
      <c r="G136" s="55"/>
      <c r="H136" s="55"/>
      <c r="I136" s="441"/>
      <c r="J136" s="55"/>
      <c r="K136" s="55"/>
      <c r="L136" s="55"/>
      <c r="M136" s="55"/>
      <c r="N136" s="55"/>
    </row>
    <row r="137" spans="1:14" s="67" customFormat="1" x14ac:dyDescent="0.3">
      <c r="A137" s="136" t="s">
        <v>119</v>
      </c>
      <c r="B137" s="19" t="s">
        <v>50</v>
      </c>
      <c r="C137" s="19" t="s">
        <v>120</v>
      </c>
      <c r="D137" s="19" t="s">
        <v>51</v>
      </c>
      <c r="E137" s="63" t="s">
        <v>121</v>
      </c>
      <c r="F137" s="63" t="s">
        <v>166</v>
      </c>
      <c r="G137" s="55"/>
      <c r="H137" s="55"/>
      <c r="I137" s="441"/>
      <c r="J137" s="55"/>
      <c r="K137" s="55"/>
      <c r="L137" s="445"/>
      <c r="M137" s="55"/>
      <c r="N137" s="446"/>
    </row>
    <row r="138" spans="1:14" s="67" customFormat="1" x14ac:dyDescent="0.3">
      <c r="A138" s="8" t="s">
        <v>123</v>
      </c>
      <c r="B138" s="430" t="s">
        <v>124</v>
      </c>
      <c r="C138" s="430" t="s">
        <v>125</v>
      </c>
      <c r="D138" s="430" t="s">
        <v>3</v>
      </c>
      <c r="E138" s="419">
        <v>186059000</v>
      </c>
      <c r="F138" s="196" t="s">
        <v>277</v>
      </c>
      <c r="G138" s="438"/>
      <c r="H138" s="55"/>
      <c r="I138" s="441"/>
      <c r="J138" s="55"/>
      <c r="K138" s="55"/>
      <c r="L138" s="445"/>
      <c r="M138" s="55"/>
      <c r="N138" s="446"/>
    </row>
    <row r="139" spans="1:14" s="67" customFormat="1" x14ac:dyDescent="0.3">
      <c r="A139" s="7" t="s">
        <v>211</v>
      </c>
      <c r="B139" s="372" t="s">
        <v>216</v>
      </c>
      <c r="C139" s="372" t="s">
        <v>128</v>
      </c>
      <c r="D139" s="372" t="s">
        <v>3</v>
      </c>
      <c r="E139" s="417">
        <v>124000000</v>
      </c>
      <c r="F139" s="196" t="s">
        <v>195</v>
      </c>
      <c r="G139" s="438"/>
      <c r="H139" s="55"/>
      <c r="I139" s="441"/>
      <c r="J139" s="55"/>
      <c r="K139" s="55"/>
      <c r="L139" s="445"/>
      <c r="M139" s="55"/>
      <c r="N139" s="446"/>
    </row>
    <row r="140" spans="1:14" s="67" customFormat="1" x14ac:dyDescent="0.3">
      <c r="A140" s="7" t="s">
        <v>190</v>
      </c>
      <c r="B140" s="372" t="s">
        <v>194</v>
      </c>
      <c r="C140" s="372" t="s">
        <v>128</v>
      </c>
      <c r="D140" s="372" t="s">
        <v>3</v>
      </c>
      <c r="E140" s="416">
        <v>45000000</v>
      </c>
      <c r="F140" s="358" t="s">
        <v>129</v>
      </c>
      <c r="G140" s="438"/>
      <c r="H140" s="55"/>
      <c r="I140" s="441"/>
      <c r="J140" s="55"/>
      <c r="K140" s="55"/>
      <c r="L140" s="445"/>
      <c r="M140" s="55"/>
      <c r="N140" s="446"/>
    </row>
    <row r="141" spans="1:14" s="67" customFormat="1" x14ac:dyDescent="0.3">
      <c r="A141" s="7" t="s">
        <v>236</v>
      </c>
      <c r="B141" s="372" t="s">
        <v>239</v>
      </c>
      <c r="C141" s="372" t="s">
        <v>128</v>
      </c>
      <c r="D141" s="372" t="s">
        <v>3</v>
      </c>
      <c r="E141" s="416">
        <v>41000000</v>
      </c>
      <c r="F141" s="358" t="s">
        <v>129</v>
      </c>
      <c r="G141" s="438"/>
      <c r="H141" s="55"/>
      <c r="I141" s="441"/>
      <c r="J141" s="55"/>
      <c r="K141" s="55"/>
      <c r="L141" s="445"/>
      <c r="M141" s="55"/>
      <c r="N141" s="446"/>
    </row>
    <row r="142" spans="1:14" s="67" customFormat="1" x14ac:dyDescent="0.3">
      <c r="A142" s="7" t="s">
        <v>252</v>
      </c>
      <c r="B142" s="372" t="s">
        <v>253</v>
      </c>
      <c r="C142" s="372" t="s">
        <v>128</v>
      </c>
      <c r="D142" s="372" t="s">
        <v>3</v>
      </c>
      <c r="E142" s="416">
        <v>10000000</v>
      </c>
      <c r="F142" s="358" t="s">
        <v>254</v>
      </c>
      <c r="G142" s="438"/>
      <c r="H142" s="55"/>
      <c r="I142" s="441"/>
      <c r="J142" s="55"/>
      <c r="K142" s="55"/>
      <c r="L142" s="445"/>
      <c r="M142" s="55"/>
      <c r="N142" s="446"/>
    </row>
    <row r="143" spans="1:14" s="67" customFormat="1" x14ac:dyDescent="0.3">
      <c r="A143" s="7" t="s">
        <v>255</v>
      </c>
      <c r="B143" s="372" t="s">
        <v>256</v>
      </c>
      <c r="C143" s="372" t="s">
        <v>128</v>
      </c>
      <c r="D143" s="372" t="s">
        <v>3</v>
      </c>
      <c r="E143" s="416">
        <v>51000000</v>
      </c>
      <c r="F143" s="358" t="s">
        <v>129</v>
      </c>
      <c r="G143" s="438"/>
      <c r="H143" s="55"/>
      <c r="I143" s="441"/>
      <c r="J143" s="55"/>
      <c r="K143" s="55"/>
      <c r="L143" s="445"/>
      <c r="M143" s="55"/>
      <c r="N143" s="446"/>
    </row>
    <row r="144" spans="1:14" s="67" customFormat="1" x14ac:dyDescent="0.3">
      <c r="A144" s="7" t="s">
        <v>238</v>
      </c>
      <c r="B144" s="372" t="s">
        <v>241</v>
      </c>
      <c r="C144" s="372" t="s">
        <v>128</v>
      </c>
      <c r="D144" s="372" t="s">
        <v>3</v>
      </c>
      <c r="E144" s="416">
        <v>45000000</v>
      </c>
      <c r="F144" s="358" t="s">
        <v>129</v>
      </c>
      <c r="G144" s="438"/>
      <c r="H144" s="55"/>
      <c r="I144" s="441"/>
      <c r="J144" s="55"/>
      <c r="K144" s="55"/>
      <c r="L144" s="445"/>
      <c r="M144" s="55"/>
      <c r="N144" s="446"/>
    </row>
    <row r="145" spans="1:14" s="67" customFormat="1" x14ac:dyDescent="0.3">
      <c r="A145" s="7" t="s">
        <v>257</v>
      </c>
      <c r="B145" s="372" t="s">
        <v>258</v>
      </c>
      <c r="C145" s="372" t="s">
        <v>128</v>
      </c>
      <c r="D145" s="372" t="s">
        <v>3</v>
      </c>
      <c r="E145" s="416">
        <v>10000000</v>
      </c>
      <c r="F145" s="358" t="s">
        <v>129</v>
      </c>
      <c r="G145" s="438"/>
      <c r="H145" s="55"/>
      <c r="I145" s="441"/>
      <c r="J145" s="55"/>
      <c r="K145" s="55"/>
      <c r="L145" s="445"/>
      <c r="M145" s="55"/>
      <c r="N145" s="446"/>
    </row>
    <row r="146" spans="1:14" s="67" customFormat="1" x14ac:dyDescent="0.3">
      <c r="A146" s="442" t="s">
        <v>264</v>
      </c>
      <c r="B146" s="372" t="s">
        <v>263</v>
      </c>
      <c r="C146" s="372" t="s">
        <v>128</v>
      </c>
      <c r="D146" s="372" t="s">
        <v>3</v>
      </c>
      <c r="E146" s="416">
        <v>25000000</v>
      </c>
      <c r="F146" s="358" t="s">
        <v>129</v>
      </c>
      <c r="G146" s="438"/>
      <c r="H146" s="55"/>
      <c r="I146" s="441"/>
      <c r="J146" s="55"/>
      <c r="K146" s="55"/>
      <c r="L146" s="445"/>
      <c r="M146" s="55"/>
      <c r="N146" s="446"/>
    </row>
    <row r="147" spans="1:14" s="67" customFormat="1" x14ac:dyDescent="0.3">
      <c r="A147" s="7" t="s">
        <v>266</v>
      </c>
      <c r="B147" s="372" t="s">
        <v>262</v>
      </c>
      <c r="C147" s="372" t="s">
        <v>265</v>
      </c>
      <c r="D147" s="372" t="s">
        <v>3</v>
      </c>
      <c r="E147" s="416">
        <v>20000000</v>
      </c>
      <c r="F147" s="358" t="s">
        <v>131</v>
      </c>
      <c r="G147" s="438"/>
      <c r="H147" s="55"/>
      <c r="I147" s="441"/>
      <c r="J147" s="55"/>
      <c r="K147" s="55"/>
      <c r="L147" s="445"/>
      <c r="M147" s="55"/>
      <c r="N147" s="446"/>
    </row>
    <row r="148" spans="1:14" s="67" customFormat="1" x14ac:dyDescent="0.3">
      <c r="A148" s="7" t="s">
        <v>259</v>
      </c>
      <c r="B148" s="372" t="s">
        <v>260</v>
      </c>
      <c r="C148" s="372" t="s">
        <v>248</v>
      </c>
      <c r="D148" s="372" t="s">
        <v>3</v>
      </c>
      <c r="E148" s="416">
        <v>10000000</v>
      </c>
      <c r="F148" s="358" t="s">
        <v>261</v>
      </c>
      <c r="G148" s="438"/>
      <c r="H148" s="55"/>
      <c r="I148" s="441"/>
      <c r="J148" s="55"/>
      <c r="K148" s="55"/>
      <c r="L148" s="445"/>
      <c r="M148" s="55"/>
      <c r="N148" s="446"/>
    </row>
    <row r="149" spans="1:14" s="67" customFormat="1" ht="14" thickBot="1" x14ac:dyDescent="0.35">
      <c r="A149" s="3" t="s">
        <v>246</v>
      </c>
      <c r="B149" s="443" t="s">
        <v>247</v>
      </c>
      <c r="C149" s="431" t="s">
        <v>248</v>
      </c>
      <c r="D149" s="432" t="s">
        <v>3</v>
      </c>
      <c r="E149" s="444">
        <v>10000000</v>
      </c>
      <c r="F149" s="359" t="s">
        <v>249</v>
      </c>
      <c r="G149" s="438"/>
      <c r="H149" s="55"/>
      <c r="I149" s="441"/>
      <c r="J149" s="55"/>
      <c r="K149" s="55"/>
      <c r="L149" s="445"/>
      <c r="M149" s="55"/>
      <c r="N149" s="446"/>
    </row>
    <row r="150" spans="1:14" ht="14" thickTop="1" x14ac:dyDescent="0.3">
      <c r="A150" s="5" t="s">
        <v>1</v>
      </c>
      <c r="B150" s="434"/>
      <c r="C150" s="434"/>
      <c r="D150" s="434"/>
      <c r="E150" s="423">
        <f>SUM(E138:E149)</f>
        <v>577059000</v>
      </c>
      <c r="F150" s="189"/>
      <c r="G150" s="55"/>
      <c r="H150" s="55"/>
      <c r="I150" s="441"/>
      <c r="J150" s="55"/>
      <c r="K150" s="55"/>
      <c r="L150" s="55"/>
      <c r="M150" s="55"/>
      <c r="N150" s="55"/>
    </row>
    <row r="151" spans="1:14" x14ac:dyDescent="0.3">
      <c r="A151" s="26"/>
      <c r="B151" s="67"/>
      <c r="C151" s="420"/>
      <c r="D151" s="102"/>
      <c r="E151" s="102"/>
      <c r="F151" s="105"/>
      <c r="G151" s="67"/>
      <c r="H151" s="67"/>
      <c r="I151" s="102"/>
      <c r="J151" s="67"/>
      <c r="K151" s="67"/>
      <c r="L151" s="67"/>
      <c r="M151" s="67"/>
      <c r="N151" s="67"/>
    </row>
    <row r="152" spans="1:14" x14ac:dyDescent="0.3">
      <c r="A152" s="67"/>
      <c r="B152" s="67"/>
      <c r="C152" s="67"/>
      <c r="D152" s="67"/>
      <c r="E152" s="67"/>
      <c r="F152" s="67"/>
      <c r="G152" s="67"/>
      <c r="H152" s="67"/>
      <c r="I152" s="67"/>
      <c r="J152" s="67"/>
      <c r="K152" s="67"/>
    </row>
    <row r="153" spans="1:14" x14ac:dyDescent="0.3">
      <c r="A153" s="187" t="s">
        <v>232</v>
      </c>
      <c r="B153" s="187"/>
      <c r="C153" s="187"/>
      <c r="D153" s="187"/>
      <c r="E153" s="187"/>
    </row>
    <row r="173" spans="1:1" x14ac:dyDescent="0.3">
      <c r="A173"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173"/>
  <sheetViews>
    <sheetView topLeftCell="C1" workbookViewId="0">
      <selection activeCell="E20" sqref="E20"/>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42916</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7145175563</v>
      </c>
      <c r="C7" s="263"/>
      <c r="D7" s="364"/>
      <c r="E7" s="267"/>
      <c r="F7" s="266"/>
      <c r="G7" s="55"/>
      <c r="H7" s="55"/>
      <c r="I7" s="67"/>
      <c r="J7" s="67"/>
      <c r="K7" s="67"/>
      <c r="L7" s="67"/>
      <c r="M7" s="67"/>
    </row>
    <row r="8" spans="1:13" x14ac:dyDescent="0.3">
      <c r="A8" s="265" t="s">
        <v>78</v>
      </c>
      <c r="B8" s="365">
        <v>1148373</v>
      </c>
      <c r="C8" s="263"/>
      <c r="D8" s="366"/>
      <c r="E8" s="267"/>
      <c r="F8" s="266"/>
      <c r="G8" s="55"/>
      <c r="H8" s="55"/>
      <c r="I8" s="67"/>
      <c r="J8" s="67"/>
      <c r="K8" s="67"/>
      <c r="L8" s="67"/>
      <c r="M8" s="67"/>
    </row>
    <row r="9" spans="1:13" x14ac:dyDescent="0.3">
      <c r="A9" s="265" t="s">
        <v>73</v>
      </c>
      <c r="B9" s="365">
        <v>6222</v>
      </c>
      <c r="C9" s="263"/>
      <c r="D9" s="364"/>
      <c r="E9" s="267"/>
      <c r="F9" s="266"/>
      <c r="G9" s="55"/>
      <c r="H9" s="55"/>
      <c r="I9" s="67"/>
      <c r="J9" s="67"/>
      <c r="K9" s="67"/>
      <c r="L9" s="67"/>
      <c r="M9" s="67"/>
    </row>
    <row r="10" spans="1:13" ht="13.5" customHeight="1" x14ac:dyDescent="0.3">
      <c r="A10" s="265" t="s">
        <v>79</v>
      </c>
      <c r="B10" s="338">
        <v>9.9000000000000008E-3</v>
      </c>
      <c r="C10" s="263"/>
      <c r="D10" s="268"/>
      <c r="E10" s="267"/>
      <c r="F10" s="266"/>
      <c r="G10" s="55"/>
      <c r="H10" s="55"/>
      <c r="I10" s="67"/>
      <c r="J10" s="67"/>
      <c r="K10" s="67"/>
      <c r="L10" s="67"/>
      <c r="M10" s="67"/>
    </row>
    <row r="11" spans="1:13" x14ac:dyDescent="0.3">
      <c r="A11" s="265" t="s">
        <v>74</v>
      </c>
      <c r="B11" s="365">
        <v>44</v>
      </c>
      <c r="C11" s="348"/>
      <c r="D11" s="349"/>
      <c r="E11" s="350"/>
      <c r="F11" s="266"/>
      <c r="G11" s="55"/>
      <c r="H11" s="55"/>
      <c r="I11" s="67"/>
      <c r="J11" s="67"/>
      <c r="K11" s="67"/>
      <c r="L11" s="67"/>
      <c r="M11" s="67"/>
    </row>
    <row r="12" spans="1:13" x14ac:dyDescent="0.3">
      <c r="A12" s="265" t="s">
        <v>81</v>
      </c>
      <c r="B12" s="365">
        <v>165</v>
      </c>
      <c r="C12" s="348"/>
      <c r="D12" s="349"/>
      <c r="E12" s="350"/>
      <c r="F12" s="351"/>
      <c r="G12" s="55"/>
      <c r="H12" s="55"/>
      <c r="I12" s="67"/>
      <c r="J12" s="67"/>
      <c r="K12" s="67"/>
      <c r="L12" s="67"/>
      <c r="M12" s="67"/>
    </row>
    <row r="13" spans="1:13" x14ac:dyDescent="0.3">
      <c r="A13" s="265" t="s">
        <v>75</v>
      </c>
      <c r="B13" s="365">
        <v>5938</v>
      </c>
      <c r="C13" s="339"/>
      <c r="D13" s="349"/>
      <c r="E13" s="350"/>
      <c r="F13" s="351"/>
      <c r="G13" s="55"/>
      <c r="H13" s="55"/>
      <c r="I13" s="362"/>
      <c r="J13" s="362"/>
      <c r="K13" s="67"/>
      <c r="L13" s="67"/>
      <c r="M13" s="67"/>
    </row>
    <row r="14" spans="1:13" x14ac:dyDescent="0.3">
      <c r="A14" s="265" t="s">
        <v>196</v>
      </c>
      <c r="B14" s="338">
        <v>0.51270000000000004</v>
      </c>
      <c r="C14" s="339"/>
      <c r="D14" s="349"/>
      <c r="E14" s="350"/>
      <c r="F14" s="351"/>
      <c r="G14" s="55"/>
      <c r="H14" s="55"/>
      <c r="I14" s="362"/>
      <c r="J14" s="362"/>
      <c r="K14" s="67"/>
      <c r="L14" s="67"/>
      <c r="M14" s="67"/>
    </row>
    <row r="15" spans="1:13" x14ac:dyDescent="0.3">
      <c r="A15" s="265" t="s">
        <v>83</v>
      </c>
      <c r="B15" s="269">
        <v>1</v>
      </c>
      <c r="C15" s="339"/>
      <c r="D15" s="349"/>
      <c r="E15" s="350"/>
      <c r="F15" s="351"/>
      <c r="G15" s="55"/>
      <c r="H15" s="55"/>
      <c r="I15" s="362"/>
      <c r="J15" s="362"/>
      <c r="K15" s="67"/>
      <c r="L15" s="67"/>
      <c r="M15" s="67"/>
    </row>
    <row r="16" spans="1:13" x14ac:dyDescent="0.3">
      <c r="A16" s="265" t="s">
        <v>86</v>
      </c>
      <c r="B16" s="269">
        <v>1</v>
      </c>
      <c r="C16" s="339"/>
      <c r="D16" s="349"/>
      <c r="E16" s="350"/>
      <c r="F16" s="351"/>
      <c r="G16" s="55"/>
      <c r="H16" s="55"/>
      <c r="I16" s="362"/>
      <c r="J16" s="362"/>
      <c r="K16" s="67"/>
      <c r="L16" s="67"/>
      <c r="M16" s="67"/>
    </row>
    <row r="17" spans="1:13" x14ac:dyDescent="0.3">
      <c r="A17" s="265" t="s">
        <v>84</v>
      </c>
      <c r="B17" s="265">
        <f>+E86/B88</f>
        <v>5.8277084494231992E-4</v>
      </c>
      <c r="C17" s="339"/>
      <c r="D17" s="349"/>
      <c r="E17" s="350"/>
      <c r="F17" s="351"/>
      <c r="G17" s="55"/>
      <c r="H17" s="55"/>
      <c r="I17" s="362"/>
      <c r="J17" s="362"/>
      <c r="K17" s="67"/>
      <c r="L17" s="67"/>
      <c r="M17" s="67"/>
    </row>
    <row r="18" spans="1:13" x14ac:dyDescent="0.3">
      <c r="A18" s="265" t="s">
        <v>49</v>
      </c>
      <c r="B18" s="367">
        <f>434087000+292320000</f>
        <v>726407000</v>
      </c>
      <c r="C18" s="339"/>
      <c r="D18" s="348"/>
      <c r="E18" s="352"/>
      <c r="F18" s="353"/>
      <c r="G18" s="306"/>
      <c r="H18" s="368"/>
      <c r="I18" s="368"/>
      <c r="J18" s="189"/>
      <c r="K18" s="67"/>
      <c r="L18" s="67"/>
      <c r="M18" s="67"/>
    </row>
    <row r="19" spans="1:13" x14ac:dyDescent="0.3">
      <c r="A19" s="262" t="s">
        <v>80</v>
      </c>
      <c r="B19" s="369">
        <f>+B7+B18</f>
        <v>7871582563</v>
      </c>
      <c r="C19" s="339"/>
      <c r="D19" s="348" t="s">
        <v>234</v>
      </c>
      <c r="E19" s="435" t="s">
        <v>235</v>
      </c>
      <c r="F19" s="353"/>
      <c r="G19" s="307"/>
      <c r="H19" s="368"/>
      <c r="I19" s="368"/>
      <c r="J19" s="189"/>
      <c r="K19" s="67"/>
      <c r="L19" s="67"/>
      <c r="M19" s="67"/>
    </row>
    <row r="20" spans="1:13" x14ac:dyDescent="0.3">
      <c r="A20" s="341" t="s">
        <v>197</v>
      </c>
      <c r="B20" s="342">
        <f>($B$19-D20)/E20-1</f>
        <v>0.17171385282804064</v>
      </c>
      <c r="C20" s="339"/>
      <c r="D20" s="436">
        <v>20591225.239999998</v>
      </c>
      <c r="E20" s="435">
        <v>6700434000</v>
      </c>
      <c r="F20" s="353"/>
      <c r="G20" s="307"/>
      <c r="H20" s="368"/>
      <c r="I20" s="368"/>
      <c r="J20" s="189"/>
      <c r="K20" s="67"/>
      <c r="L20" s="67"/>
      <c r="M20" s="67"/>
    </row>
    <row r="21" spans="1:13" x14ac:dyDescent="0.3">
      <c r="A21" s="341" t="s">
        <v>198</v>
      </c>
      <c r="B21" s="342">
        <f>($B$19-D21)/E20-1</f>
        <v>0.13173477856807492</v>
      </c>
      <c r="C21" s="339"/>
      <c r="D21" s="435">
        <v>288468373.69999999</v>
      </c>
      <c r="E21" s="435"/>
      <c r="F21" s="353"/>
      <c r="G21" s="307"/>
      <c r="H21" s="368"/>
      <c r="I21" s="368"/>
      <c r="J21" s="189"/>
      <c r="K21" s="67"/>
      <c r="L21" s="67"/>
      <c r="M21" s="67"/>
    </row>
    <row r="22" spans="1:13" x14ac:dyDescent="0.3">
      <c r="A22" s="341" t="s">
        <v>233</v>
      </c>
      <c r="B22" s="342">
        <f>($B$19-D22)/E20-1</f>
        <v>7.4164169174713246E-2</v>
      </c>
      <c r="C22" s="339"/>
      <c r="D22" s="435">
        <v>674216442.27999997</v>
      </c>
      <c r="E22" s="435"/>
      <c r="F22" s="353"/>
      <c r="G22" s="307"/>
      <c r="H22" s="368"/>
      <c r="I22" s="368"/>
      <c r="J22" s="189"/>
      <c r="K22" s="67"/>
      <c r="L22" s="67"/>
      <c r="M22" s="67"/>
    </row>
    <row r="23" spans="1:13" s="54" customFormat="1" x14ac:dyDescent="0.3">
      <c r="A23" s="259"/>
      <c r="B23" s="371"/>
      <c r="C23" s="343"/>
      <c r="D23" s="343"/>
      <c r="E23" s="326"/>
      <c r="F23" s="186"/>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1932389359.6100025</v>
      </c>
      <c r="C28" s="373">
        <v>2831</v>
      </c>
      <c r="D28" s="196">
        <f t="shared" ref="D28:D37" si="0">B28/$B$40</f>
        <v>0.27044672907239892</v>
      </c>
      <c r="E28" s="355"/>
      <c r="F28" s="186"/>
      <c r="G28" s="186"/>
      <c r="H28" s="368"/>
      <c r="I28" s="374"/>
      <c r="J28" s="189"/>
      <c r="K28" s="67"/>
      <c r="L28" s="67"/>
      <c r="M28" s="67"/>
    </row>
    <row r="29" spans="1:13" ht="14.5" x14ac:dyDescent="0.35">
      <c r="A29" s="6" t="s">
        <v>7</v>
      </c>
      <c r="B29" s="372">
        <v>1162055642.1100001</v>
      </c>
      <c r="C29" s="373">
        <v>848</v>
      </c>
      <c r="D29" s="196">
        <f t="shared" si="0"/>
        <v>0.1626350020226788</v>
      </c>
      <c r="E29" s="355"/>
      <c r="F29" s="257"/>
      <c r="G29" s="257"/>
      <c r="H29" s="257"/>
      <c r="I29" s="257"/>
      <c r="J29" s="189"/>
      <c r="K29" s="67"/>
      <c r="L29" s="67"/>
      <c r="M29" s="67"/>
    </row>
    <row r="30" spans="1:13" ht="14.5" x14ac:dyDescent="0.35">
      <c r="A30" s="6" t="s">
        <v>8</v>
      </c>
      <c r="B30" s="372">
        <v>1515996770.5700002</v>
      </c>
      <c r="C30" s="373">
        <v>996</v>
      </c>
      <c r="D30" s="196">
        <f t="shared" si="0"/>
        <v>0.21217068177591425</v>
      </c>
      <c r="E30" s="355"/>
      <c r="F30" s="259"/>
      <c r="G30" s="259"/>
      <c r="H30" s="259"/>
      <c r="I30" s="259"/>
      <c r="J30" s="189"/>
      <c r="K30" s="67"/>
      <c r="L30" s="67"/>
      <c r="M30" s="67"/>
    </row>
    <row r="31" spans="1:13" ht="14.5" x14ac:dyDescent="0.35">
      <c r="A31" s="6" t="s">
        <v>9</v>
      </c>
      <c r="B31" s="372">
        <v>1741557536.6200008</v>
      </c>
      <c r="C31" s="373">
        <v>1086</v>
      </c>
      <c r="D31" s="196">
        <f t="shared" si="0"/>
        <v>0.24373894263489498</v>
      </c>
      <c r="E31" s="355"/>
      <c r="F31" s="316"/>
      <c r="G31" s="317"/>
      <c r="H31" s="317"/>
      <c r="I31" s="176"/>
      <c r="J31" s="189"/>
      <c r="K31" s="67"/>
      <c r="L31" s="67"/>
      <c r="M31" s="67"/>
    </row>
    <row r="32" spans="1:13" ht="14.5" x14ac:dyDescent="0.35">
      <c r="A32" s="6" t="s">
        <v>140</v>
      </c>
      <c r="B32" s="372">
        <v>641780750.7299999</v>
      </c>
      <c r="C32" s="373">
        <v>382</v>
      </c>
      <c r="D32" s="196">
        <f t="shared" si="0"/>
        <v>8.9820151385840125E-2</v>
      </c>
      <c r="E32" s="355"/>
      <c r="F32" s="304"/>
      <c r="G32" s="368"/>
      <c r="H32" s="368"/>
      <c r="I32" s="263"/>
      <c r="J32" s="189"/>
      <c r="K32" s="67"/>
      <c r="L32" s="67"/>
      <c r="M32" s="67"/>
    </row>
    <row r="33" spans="1:15" ht="14.5" x14ac:dyDescent="0.35">
      <c r="A33" s="6" t="s">
        <v>141</v>
      </c>
      <c r="B33" s="372">
        <v>58325077.689999998</v>
      </c>
      <c r="C33" s="373">
        <v>31</v>
      </c>
      <c r="D33" s="196">
        <f t="shared" si="0"/>
        <v>8.1628613849009934E-3</v>
      </c>
      <c r="E33" s="355"/>
      <c r="F33" s="304"/>
      <c r="G33" s="368"/>
      <c r="H33" s="368"/>
      <c r="I33" s="263"/>
      <c r="J33" s="345"/>
      <c r="K33" s="67"/>
      <c r="L33" s="67"/>
      <c r="M33" s="67"/>
    </row>
    <row r="34" spans="1:15" ht="14.5" x14ac:dyDescent="0.35">
      <c r="A34" s="6" t="s">
        <v>10</v>
      </c>
      <c r="B34" s="372">
        <v>13612199.560000001</v>
      </c>
      <c r="C34" s="373">
        <v>5</v>
      </c>
      <c r="D34" s="196">
        <f t="shared" si="0"/>
        <v>1.9050895867206226E-3</v>
      </c>
      <c r="E34" s="355"/>
      <c r="F34" s="304"/>
      <c r="G34" s="368"/>
      <c r="H34" s="368"/>
      <c r="I34" s="263"/>
      <c r="J34" s="362"/>
      <c r="K34" s="67"/>
      <c r="L34" s="67"/>
      <c r="M34" s="67"/>
    </row>
    <row r="35" spans="1:15" ht="14.5" x14ac:dyDescent="0.35">
      <c r="A35" s="6" t="s">
        <v>11</v>
      </c>
      <c r="B35" s="375">
        <v>4635100.41</v>
      </c>
      <c r="C35" s="376">
        <v>3</v>
      </c>
      <c r="D35" s="196">
        <f t="shared" si="0"/>
        <v>6.4870350200004617E-4</v>
      </c>
      <c r="E35" s="355"/>
      <c r="F35" s="304"/>
      <c r="G35" s="368"/>
      <c r="H35" s="368"/>
      <c r="I35" s="263"/>
      <c r="J35" s="67"/>
      <c r="K35" s="67"/>
      <c r="L35" s="67"/>
      <c r="M35" s="67"/>
    </row>
    <row r="36" spans="1:15" ht="14.5" x14ac:dyDescent="0.35">
      <c r="A36" s="6" t="s">
        <v>12</v>
      </c>
      <c r="B36" s="377">
        <v>8607728.7799999993</v>
      </c>
      <c r="C36" s="378">
        <v>6</v>
      </c>
      <c r="D36" s="196">
        <f t="shared" si="0"/>
        <v>1.20469101204489E-3</v>
      </c>
      <c r="E36" s="355"/>
      <c r="F36" s="304"/>
      <c r="G36" s="368"/>
      <c r="H36" s="368"/>
      <c r="I36" s="263"/>
      <c r="J36" s="67"/>
      <c r="K36" s="67"/>
      <c r="L36" s="67"/>
      <c r="M36" s="67"/>
    </row>
    <row r="37" spans="1:15" ht="14.5" x14ac:dyDescent="0.35">
      <c r="A37" s="6" t="s">
        <v>13</v>
      </c>
      <c r="B37" s="377">
        <v>21082848.629999999</v>
      </c>
      <c r="C37" s="378">
        <v>5</v>
      </c>
      <c r="D37" s="196">
        <f t="shared" si="0"/>
        <v>2.950641092674382E-3</v>
      </c>
      <c r="E37" s="355"/>
      <c r="F37" s="304"/>
      <c r="G37" s="368"/>
      <c r="H37" s="368"/>
      <c r="I37" s="263"/>
      <c r="J37" s="67"/>
      <c r="K37" s="67"/>
      <c r="L37" s="67"/>
      <c r="M37" s="67"/>
    </row>
    <row r="38" spans="1:15" ht="14.5" x14ac:dyDescent="0.35">
      <c r="A38" s="6" t="s">
        <v>14</v>
      </c>
      <c r="B38" s="377">
        <v>2594085</v>
      </c>
      <c r="C38" s="378">
        <v>1</v>
      </c>
      <c r="D38" s="196">
        <f>B38/$B$40</f>
        <v>3.6305406035115211E-4</v>
      </c>
      <c r="E38" s="355"/>
      <c r="F38" s="304"/>
      <c r="G38" s="368"/>
      <c r="H38" s="368"/>
      <c r="I38" s="263"/>
      <c r="J38" s="67"/>
      <c r="K38" s="67"/>
      <c r="L38" s="67"/>
      <c r="M38" s="67"/>
      <c r="O38" s="54"/>
    </row>
    <row r="39" spans="1:15" ht="15" thickBot="1" x14ac:dyDescent="0.4">
      <c r="A39" s="4" t="s">
        <v>15</v>
      </c>
      <c r="B39" s="379">
        <v>42538463.099999994</v>
      </c>
      <c r="C39" s="380">
        <v>28</v>
      </c>
      <c r="D39" s="192">
        <f>B39/$B$40</f>
        <v>5.9534524695808557E-3</v>
      </c>
      <c r="E39" s="355"/>
      <c r="F39" s="304"/>
      <c r="G39" s="374"/>
      <c r="H39" s="374"/>
      <c r="I39" s="263"/>
      <c r="J39" s="67"/>
      <c r="K39" s="67"/>
      <c r="L39" s="67"/>
      <c r="M39" s="67"/>
      <c r="O39" s="54"/>
    </row>
    <row r="40" spans="1:15" ht="15" thickTop="1" x14ac:dyDescent="0.35">
      <c r="A40" s="1" t="s">
        <v>1</v>
      </c>
      <c r="B40" s="18">
        <f>SUM(B28:B39)</f>
        <v>7145175562.8100033</v>
      </c>
      <c r="C40" s="381">
        <f>SUM(C28:C39)</f>
        <v>6222</v>
      </c>
      <c r="D40" s="344">
        <f>SUM(D28:D39)</f>
        <v>1.0000000000000002</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228417615.36000001</v>
      </c>
      <c r="C46" s="373">
        <v>2090</v>
      </c>
      <c r="D46" s="196">
        <f>B46/$B$40</f>
        <v>3.1968089986324923E-2</v>
      </c>
      <c r="E46" s="384"/>
      <c r="O46" s="54"/>
    </row>
    <row r="47" spans="1:15" x14ac:dyDescent="0.3">
      <c r="A47" s="6" t="s">
        <v>221</v>
      </c>
      <c r="B47" s="372">
        <v>759877388.41999984</v>
      </c>
      <c r="C47" s="373">
        <v>1007</v>
      </c>
      <c r="D47" s="196">
        <f t="shared" ref="D47:D49" si="1">B47/$B$40</f>
        <v>0.10634831597072203</v>
      </c>
      <c r="E47" s="384"/>
      <c r="O47" s="54"/>
    </row>
    <row r="48" spans="1:15" x14ac:dyDescent="0.3">
      <c r="A48" s="6" t="s">
        <v>222</v>
      </c>
      <c r="B48" s="372">
        <v>2856805031.7099991</v>
      </c>
      <c r="C48" s="373">
        <v>1932</v>
      </c>
      <c r="D48" s="196">
        <f t="shared" si="1"/>
        <v>0.39982293039507838</v>
      </c>
      <c r="E48" s="384"/>
      <c r="O48" s="54"/>
    </row>
    <row r="49" spans="1:15" x14ac:dyDescent="0.3">
      <c r="A49" s="6" t="s">
        <v>223</v>
      </c>
      <c r="B49" s="372">
        <v>2050730888.6100011</v>
      </c>
      <c r="C49" s="373">
        <v>859</v>
      </c>
      <c r="D49" s="196">
        <f t="shared" si="1"/>
        <v>0.28700916731617782</v>
      </c>
      <c r="E49" s="384"/>
      <c r="O49" s="54"/>
    </row>
    <row r="50" spans="1:15" ht="14" thickBot="1" x14ac:dyDescent="0.35">
      <c r="A50" s="4" t="s">
        <v>224</v>
      </c>
      <c r="B50" s="379">
        <v>1249344638.71</v>
      </c>
      <c r="C50" s="380">
        <v>334</v>
      </c>
      <c r="D50" s="192">
        <f>B50/$B$40</f>
        <v>0.17485149633169639</v>
      </c>
      <c r="E50" s="384"/>
      <c r="O50" s="54"/>
    </row>
    <row r="51" spans="1:15" ht="14" thickTop="1" x14ac:dyDescent="0.3">
      <c r="A51" s="1" t="s">
        <v>1</v>
      </c>
      <c r="B51" s="18">
        <f>SUM(B46:B50)</f>
        <v>7145175562.8100004</v>
      </c>
      <c r="C51" s="381">
        <f>SUM(C46:C50)</f>
        <v>6222</v>
      </c>
      <c r="D51" s="344">
        <f>SUM(D46:D50)</f>
        <v>0.99999999999999944</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281"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7">
        <f>SUM(C56:N56)</f>
        <v>225921610.5</v>
      </c>
      <c r="C56" s="387">
        <v>79227046.409999982</v>
      </c>
      <c r="D56" s="387">
        <v>57141559.420000002</v>
      </c>
      <c r="E56" s="387">
        <v>66310557.670000009</v>
      </c>
      <c r="F56" s="387">
        <v>23242447</v>
      </c>
      <c r="G56" s="387">
        <v>0</v>
      </c>
      <c r="H56" s="387">
        <v>0</v>
      </c>
      <c r="I56" s="387">
        <v>0</v>
      </c>
      <c r="J56" s="387">
        <v>0</v>
      </c>
      <c r="K56" s="387">
        <v>0</v>
      </c>
      <c r="L56" s="387">
        <v>0</v>
      </c>
      <c r="M56" s="387">
        <v>0</v>
      </c>
      <c r="N56" s="387">
        <v>0</v>
      </c>
      <c r="O56" s="54"/>
    </row>
    <row r="57" spans="1:15" ht="14.5" x14ac:dyDescent="0.35">
      <c r="A57" s="154" t="s">
        <v>29</v>
      </c>
      <c r="B57" s="387">
        <f t="shared" ref="B57:B75" si="2">SUM(C57:N57)</f>
        <v>458959647.72000003</v>
      </c>
      <c r="C57" s="387">
        <v>84355213.969999999</v>
      </c>
      <c r="D57" s="387">
        <v>100786737.76000001</v>
      </c>
      <c r="E57" s="387">
        <v>104992396.01000001</v>
      </c>
      <c r="F57" s="387">
        <v>123499920.47000001</v>
      </c>
      <c r="G57" s="387">
        <v>26693098.509999998</v>
      </c>
      <c r="H57" s="387">
        <v>16769837</v>
      </c>
      <c r="I57" s="387">
        <v>0</v>
      </c>
      <c r="J57" s="387">
        <v>0</v>
      </c>
      <c r="K57" s="387">
        <v>0</v>
      </c>
      <c r="L57" s="387">
        <v>0</v>
      </c>
      <c r="M57" s="387">
        <v>0</v>
      </c>
      <c r="N57" s="387">
        <v>1862444</v>
      </c>
      <c r="O57" s="54"/>
    </row>
    <row r="58" spans="1:15" ht="14.5" x14ac:dyDescent="0.35">
      <c r="A58" s="154" t="s">
        <v>30</v>
      </c>
      <c r="B58" s="387">
        <f t="shared" si="2"/>
        <v>57313586.229999997</v>
      </c>
      <c r="C58" s="387">
        <v>16064043.709999999</v>
      </c>
      <c r="D58" s="387">
        <v>31303626.77</v>
      </c>
      <c r="E58" s="387">
        <v>4596887.75</v>
      </c>
      <c r="F58" s="387">
        <v>0</v>
      </c>
      <c r="G58" s="387">
        <v>2780583</v>
      </c>
      <c r="H58" s="387">
        <v>0</v>
      </c>
      <c r="I58" s="387">
        <v>0</v>
      </c>
      <c r="J58" s="387">
        <v>0</v>
      </c>
      <c r="K58" s="387">
        <v>0</v>
      </c>
      <c r="L58" s="387">
        <v>0</v>
      </c>
      <c r="M58" s="387">
        <v>0</v>
      </c>
      <c r="N58" s="387">
        <v>2568445</v>
      </c>
      <c r="O58" s="54"/>
    </row>
    <row r="59" spans="1:15" ht="14.5" x14ac:dyDescent="0.35">
      <c r="A59" s="154" t="s">
        <v>142</v>
      </c>
      <c r="B59" s="387">
        <f t="shared" si="2"/>
        <v>4562080.74</v>
      </c>
      <c r="C59" s="387">
        <v>0</v>
      </c>
      <c r="D59" s="387">
        <v>0</v>
      </c>
      <c r="E59" s="387">
        <v>0</v>
      </c>
      <c r="F59" s="387">
        <v>2638436</v>
      </c>
      <c r="G59" s="387">
        <v>1923644.74</v>
      </c>
      <c r="H59" s="387">
        <v>0</v>
      </c>
      <c r="I59" s="387">
        <v>0</v>
      </c>
      <c r="J59" s="387">
        <v>0</v>
      </c>
      <c r="K59" s="387">
        <v>0</v>
      </c>
      <c r="L59" s="387">
        <v>0</v>
      </c>
      <c r="M59" s="387">
        <v>0</v>
      </c>
      <c r="N59" s="387">
        <v>0</v>
      </c>
      <c r="O59" s="54"/>
    </row>
    <row r="60" spans="1:15" ht="14.5" x14ac:dyDescent="0.35">
      <c r="A60" s="154" t="s">
        <v>31</v>
      </c>
      <c r="B60" s="387">
        <f t="shared" si="2"/>
        <v>18297863.189999998</v>
      </c>
      <c r="C60" s="387">
        <v>1208680</v>
      </c>
      <c r="D60" s="387">
        <v>4130220.19</v>
      </c>
      <c r="E60" s="387">
        <v>4694407</v>
      </c>
      <c r="F60" s="387">
        <v>8264556</v>
      </c>
      <c r="G60" s="387">
        <v>0</v>
      </c>
      <c r="H60" s="387">
        <v>0</v>
      </c>
      <c r="I60" s="387">
        <v>0</v>
      </c>
      <c r="J60" s="387">
        <v>0</v>
      </c>
      <c r="K60" s="387">
        <v>0</v>
      </c>
      <c r="L60" s="387">
        <v>0</v>
      </c>
      <c r="M60" s="387">
        <v>0</v>
      </c>
      <c r="N60" s="387">
        <v>0</v>
      </c>
      <c r="O60" s="54"/>
    </row>
    <row r="61" spans="1:15" ht="14.5" x14ac:dyDescent="0.35">
      <c r="A61" s="154" t="s">
        <v>32</v>
      </c>
      <c r="B61" s="387">
        <f t="shared" si="2"/>
        <v>584706668.02999997</v>
      </c>
      <c r="C61" s="387">
        <v>166545325.62000006</v>
      </c>
      <c r="D61" s="387">
        <v>77821442.739999995</v>
      </c>
      <c r="E61" s="387">
        <v>145492517.13999996</v>
      </c>
      <c r="F61" s="387">
        <v>137203653.13</v>
      </c>
      <c r="G61" s="387">
        <v>26494186</v>
      </c>
      <c r="H61" s="387">
        <v>2888347</v>
      </c>
      <c r="I61" s="387">
        <v>2062780.6</v>
      </c>
      <c r="J61" s="387">
        <v>2293430.41</v>
      </c>
      <c r="K61" s="387">
        <v>2253898</v>
      </c>
      <c r="L61" s="387">
        <v>2782353.21</v>
      </c>
      <c r="M61" s="387">
        <v>0</v>
      </c>
      <c r="N61" s="387">
        <v>18868734.18</v>
      </c>
      <c r="O61" s="54"/>
    </row>
    <row r="62" spans="1:15" ht="14.5" x14ac:dyDescent="0.35">
      <c r="A62" s="154" t="s">
        <v>143</v>
      </c>
      <c r="B62" s="387">
        <f t="shared" si="2"/>
        <v>11016321.17</v>
      </c>
      <c r="C62" s="387">
        <v>3757795</v>
      </c>
      <c r="D62" s="387">
        <v>1478643</v>
      </c>
      <c r="E62" s="387">
        <v>0</v>
      </c>
      <c r="F62" s="387">
        <v>5779883.1699999999</v>
      </c>
      <c r="G62" s="387">
        <v>0</v>
      </c>
      <c r="H62" s="387">
        <v>0</v>
      </c>
      <c r="I62" s="387">
        <v>0</v>
      </c>
      <c r="J62" s="387">
        <v>0</v>
      </c>
      <c r="K62" s="387">
        <v>0</v>
      </c>
      <c r="L62" s="387">
        <v>0</v>
      </c>
      <c r="M62" s="387">
        <v>0</v>
      </c>
      <c r="N62" s="387">
        <v>0</v>
      </c>
      <c r="O62" s="54"/>
    </row>
    <row r="63" spans="1:15" ht="14.5" x14ac:dyDescent="0.35">
      <c r="A63" s="154" t="s">
        <v>33</v>
      </c>
      <c r="B63" s="387">
        <f t="shared" si="2"/>
        <v>6881013.8100000005</v>
      </c>
      <c r="C63" s="387">
        <v>530317.81000000006</v>
      </c>
      <c r="D63" s="387">
        <v>0</v>
      </c>
      <c r="E63" s="387">
        <v>1621389</v>
      </c>
      <c r="F63" s="387">
        <v>4729307</v>
      </c>
      <c r="G63" s="387">
        <v>0</v>
      </c>
      <c r="H63" s="387">
        <v>0</v>
      </c>
      <c r="I63" s="387">
        <v>0</v>
      </c>
      <c r="J63" s="387">
        <v>0</v>
      </c>
      <c r="K63" s="387">
        <v>0</v>
      </c>
      <c r="L63" s="387">
        <v>0</v>
      </c>
      <c r="M63" s="387">
        <v>0</v>
      </c>
      <c r="N63" s="387">
        <v>0</v>
      </c>
      <c r="O63" s="54"/>
    </row>
    <row r="64" spans="1:15" ht="14.5" x14ac:dyDescent="0.35">
      <c r="A64" s="154" t="s">
        <v>205</v>
      </c>
      <c r="B64" s="387">
        <f t="shared" si="2"/>
        <v>2711067</v>
      </c>
      <c r="C64" s="387">
        <v>1470979</v>
      </c>
      <c r="D64" s="387">
        <v>571188</v>
      </c>
      <c r="E64" s="387">
        <v>0</v>
      </c>
      <c r="F64" s="387">
        <v>0</v>
      </c>
      <c r="G64" s="387">
        <v>668900</v>
      </c>
      <c r="H64" s="387">
        <v>0</v>
      </c>
      <c r="I64" s="387">
        <v>0</v>
      </c>
      <c r="J64" s="387">
        <v>0</v>
      </c>
      <c r="K64" s="387">
        <v>0</v>
      </c>
      <c r="L64" s="387">
        <v>0</v>
      </c>
      <c r="M64" s="387">
        <v>0</v>
      </c>
      <c r="N64" s="387">
        <v>0</v>
      </c>
      <c r="O64" s="54"/>
    </row>
    <row r="65" spans="1:15" ht="14.5" x14ac:dyDescent="0.35">
      <c r="A65" s="154" t="s">
        <v>34</v>
      </c>
      <c r="B65" s="387">
        <f t="shared" si="2"/>
        <v>10432312.01</v>
      </c>
      <c r="C65" s="387">
        <v>1377179.01</v>
      </c>
      <c r="D65" s="387">
        <v>1976147</v>
      </c>
      <c r="E65" s="387">
        <v>5900772</v>
      </c>
      <c r="F65" s="387">
        <v>0</v>
      </c>
      <c r="G65" s="387">
        <v>1178214</v>
      </c>
      <c r="H65" s="387">
        <v>0</v>
      </c>
      <c r="I65" s="387">
        <v>0</v>
      </c>
      <c r="J65" s="387">
        <v>0</v>
      </c>
      <c r="K65" s="387">
        <v>0</v>
      </c>
      <c r="L65" s="387">
        <v>0</v>
      </c>
      <c r="M65" s="387">
        <v>0</v>
      </c>
      <c r="N65" s="387">
        <v>0</v>
      </c>
      <c r="O65" s="54"/>
    </row>
    <row r="66" spans="1:15" ht="14.5" x14ac:dyDescent="0.35">
      <c r="A66" s="154" t="s">
        <v>35</v>
      </c>
      <c r="B66" s="387">
        <f t="shared" si="2"/>
        <v>324407866.89999992</v>
      </c>
      <c r="C66" s="387">
        <v>140709628.40999997</v>
      </c>
      <c r="D66" s="387">
        <v>75281208.269999996</v>
      </c>
      <c r="E66" s="387">
        <v>63860531.879999995</v>
      </c>
      <c r="F66" s="387">
        <v>25040354</v>
      </c>
      <c r="G66" s="387">
        <v>5746313</v>
      </c>
      <c r="H66" s="387">
        <v>5000000</v>
      </c>
      <c r="I66" s="387">
        <v>0</v>
      </c>
      <c r="J66" s="387">
        <v>0</v>
      </c>
      <c r="K66" s="387">
        <v>0</v>
      </c>
      <c r="L66" s="387">
        <v>8769831.3399999999</v>
      </c>
      <c r="M66" s="387">
        <v>0</v>
      </c>
      <c r="N66" s="387">
        <v>0</v>
      </c>
      <c r="O66" s="54"/>
    </row>
    <row r="67" spans="1:15" ht="14.5" x14ac:dyDescent="0.35">
      <c r="A67" s="154" t="s">
        <v>36</v>
      </c>
      <c r="B67" s="387">
        <f t="shared" si="2"/>
        <v>2995622560.7600002</v>
      </c>
      <c r="C67" s="387">
        <v>779456154.98000002</v>
      </c>
      <c r="D67" s="387">
        <v>451230647.26999998</v>
      </c>
      <c r="E67" s="387">
        <v>646647015.43999982</v>
      </c>
      <c r="F67" s="387">
        <v>711691873.06000018</v>
      </c>
      <c r="G67" s="387">
        <v>355587123.87</v>
      </c>
      <c r="H67" s="387">
        <v>18247233.359999999</v>
      </c>
      <c r="I67" s="387">
        <v>7940000</v>
      </c>
      <c r="J67" s="387">
        <v>1059170</v>
      </c>
      <c r="K67" s="387">
        <v>6353830.7799999993</v>
      </c>
      <c r="L67" s="387">
        <v>9530664.0800000001</v>
      </c>
      <c r="M67" s="387">
        <v>0</v>
      </c>
      <c r="N67" s="387">
        <v>7878847.9199999999</v>
      </c>
      <c r="O67" s="54"/>
    </row>
    <row r="68" spans="1:15" ht="14.5" x14ac:dyDescent="0.35">
      <c r="A68" s="154" t="s">
        <v>37</v>
      </c>
      <c r="B68" s="387">
        <f t="shared" si="2"/>
        <v>290052662.00999999</v>
      </c>
      <c r="C68" s="387">
        <v>81843612.769999996</v>
      </c>
      <c r="D68" s="387">
        <v>58702974.539999999</v>
      </c>
      <c r="E68" s="387">
        <v>43825968.910000004</v>
      </c>
      <c r="F68" s="387">
        <v>80372075.790000007</v>
      </c>
      <c r="G68" s="387">
        <v>21104205</v>
      </c>
      <c r="H68" s="387">
        <v>2801666</v>
      </c>
      <c r="I68" s="387">
        <v>0</v>
      </c>
      <c r="J68" s="387">
        <v>0</v>
      </c>
      <c r="K68" s="387">
        <v>0</v>
      </c>
      <c r="L68" s="387">
        <v>0</v>
      </c>
      <c r="M68" s="387">
        <v>0</v>
      </c>
      <c r="N68" s="387">
        <v>1402159</v>
      </c>
      <c r="O68" s="54"/>
    </row>
    <row r="69" spans="1:15" ht="14.5" x14ac:dyDescent="0.35">
      <c r="A69" s="154" t="s">
        <v>144</v>
      </c>
      <c r="B69" s="387">
        <f t="shared" si="2"/>
        <v>25032757.199999999</v>
      </c>
      <c r="C69" s="387">
        <v>3841345.2</v>
      </c>
      <c r="D69" s="387">
        <v>8885054</v>
      </c>
      <c r="E69" s="387">
        <v>4384228</v>
      </c>
      <c r="F69" s="387">
        <v>7922130</v>
      </c>
      <c r="G69" s="387">
        <v>0</v>
      </c>
      <c r="H69" s="387">
        <v>0</v>
      </c>
      <c r="I69" s="387">
        <v>0</v>
      </c>
      <c r="J69" s="387">
        <v>0</v>
      </c>
      <c r="K69" s="387">
        <v>0</v>
      </c>
      <c r="L69" s="387">
        <v>0</v>
      </c>
      <c r="M69" s="387">
        <v>0</v>
      </c>
      <c r="N69" s="387">
        <v>0</v>
      </c>
      <c r="O69" s="54"/>
    </row>
    <row r="70" spans="1:15" ht="14.5" x14ac:dyDescent="0.35">
      <c r="A70" s="154" t="s">
        <v>38</v>
      </c>
      <c r="B70" s="387">
        <f t="shared" si="2"/>
        <v>18295584.140000001</v>
      </c>
      <c r="C70" s="387">
        <v>6047423.1399999997</v>
      </c>
      <c r="D70" s="387">
        <v>0</v>
      </c>
      <c r="E70" s="387">
        <v>1017868</v>
      </c>
      <c r="F70" s="387">
        <v>5963460</v>
      </c>
      <c r="G70" s="387">
        <v>1315454</v>
      </c>
      <c r="H70" s="387">
        <v>2668879</v>
      </c>
      <c r="I70" s="387">
        <v>0</v>
      </c>
      <c r="J70" s="387">
        <v>1282500</v>
      </c>
      <c r="K70" s="387">
        <v>0</v>
      </c>
      <c r="L70" s="387">
        <v>0</v>
      </c>
      <c r="M70" s="387">
        <v>0</v>
      </c>
      <c r="N70" s="387">
        <v>0</v>
      </c>
      <c r="O70" s="54"/>
    </row>
    <row r="71" spans="1:15" ht="14.5" x14ac:dyDescent="0.35">
      <c r="A71" s="154" t="s">
        <v>39</v>
      </c>
      <c r="B71" s="387">
        <f t="shared" si="2"/>
        <v>8115153.5700000003</v>
      </c>
      <c r="C71" s="387">
        <v>1686216.57</v>
      </c>
      <c r="D71" s="387">
        <v>0</v>
      </c>
      <c r="E71" s="387">
        <v>3361709</v>
      </c>
      <c r="F71" s="387">
        <v>3067228</v>
      </c>
      <c r="G71" s="387">
        <v>0</v>
      </c>
      <c r="H71" s="387">
        <v>0</v>
      </c>
      <c r="I71" s="387">
        <v>0</v>
      </c>
      <c r="J71" s="387">
        <v>0</v>
      </c>
      <c r="K71" s="387">
        <v>0</v>
      </c>
      <c r="L71" s="387">
        <v>0</v>
      </c>
      <c r="M71" s="387">
        <v>0</v>
      </c>
      <c r="N71" s="387">
        <v>0</v>
      </c>
      <c r="O71" s="54"/>
    </row>
    <row r="72" spans="1:15" ht="14.5" x14ac:dyDescent="0.35">
      <c r="A72" s="154" t="s">
        <v>40</v>
      </c>
      <c r="B72" s="387">
        <f t="shared" si="2"/>
        <v>2047118906.5500002</v>
      </c>
      <c r="C72" s="387">
        <v>549067109.4200002</v>
      </c>
      <c r="D72" s="387">
        <v>284722665.52999997</v>
      </c>
      <c r="E72" s="387">
        <v>399824465.70000005</v>
      </c>
      <c r="F72" s="387">
        <v>589105185</v>
      </c>
      <c r="G72" s="387">
        <v>198289028.61000001</v>
      </c>
      <c r="H72" s="387">
        <v>9949115.3300000001</v>
      </c>
      <c r="I72" s="387">
        <v>3609418.96</v>
      </c>
      <c r="J72" s="387">
        <v>0</v>
      </c>
      <c r="K72" s="387">
        <v>0</v>
      </c>
      <c r="L72" s="387">
        <v>0</v>
      </c>
      <c r="M72" s="387">
        <v>2594085</v>
      </c>
      <c r="N72" s="387">
        <v>9957833</v>
      </c>
      <c r="O72" s="54"/>
    </row>
    <row r="73" spans="1:15" ht="14.5" x14ac:dyDescent="0.35">
      <c r="A73" s="154" t="s">
        <v>41</v>
      </c>
      <c r="B73" s="387">
        <f t="shared" si="2"/>
        <v>39534264.469999999</v>
      </c>
      <c r="C73" s="387">
        <v>8008982.4699999997</v>
      </c>
      <c r="D73" s="387">
        <v>6669112</v>
      </c>
      <c r="E73" s="387">
        <v>11819142</v>
      </c>
      <c r="F73" s="387">
        <v>13037028</v>
      </c>
      <c r="G73" s="387">
        <v>0</v>
      </c>
      <c r="H73" s="387">
        <v>0</v>
      </c>
      <c r="I73" s="387">
        <v>0</v>
      </c>
      <c r="J73" s="387">
        <v>0</v>
      </c>
      <c r="K73" s="387">
        <v>0</v>
      </c>
      <c r="L73" s="387">
        <v>0</v>
      </c>
      <c r="M73" s="387">
        <v>0</v>
      </c>
      <c r="N73" s="387">
        <v>0</v>
      </c>
      <c r="O73" s="54"/>
    </row>
    <row r="74" spans="1:15" ht="14.5" x14ac:dyDescent="0.35">
      <c r="A74" s="154" t="s">
        <v>145</v>
      </c>
      <c r="B74" s="387">
        <f t="shared" si="2"/>
        <v>13687176.190000001</v>
      </c>
      <c r="C74" s="387">
        <v>6040261.1200000001</v>
      </c>
      <c r="D74" s="387">
        <v>0</v>
      </c>
      <c r="E74" s="387">
        <v>7646915.0700000003</v>
      </c>
      <c r="F74" s="387">
        <v>0</v>
      </c>
      <c r="G74" s="387">
        <v>0</v>
      </c>
      <c r="H74" s="387">
        <v>0</v>
      </c>
      <c r="I74" s="387">
        <v>0</v>
      </c>
      <c r="J74" s="387">
        <v>0</v>
      </c>
      <c r="K74" s="387">
        <v>0</v>
      </c>
      <c r="L74" s="387">
        <v>0</v>
      </c>
      <c r="M74" s="387">
        <v>0</v>
      </c>
      <c r="N74" s="387">
        <v>0</v>
      </c>
      <c r="O74" s="54"/>
    </row>
    <row r="75" spans="1:15" ht="15" thickBot="1" x14ac:dyDescent="0.4">
      <c r="A75" s="154" t="s">
        <v>165</v>
      </c>
      <c r="B75" s="390">
        <f t="shared" si="2"/>
        <v>2506460.62</v>
      </c>
      <c r="C75" s="390">
        <v>1152045</v>
      </c>
      <c r="D75" s="390">
        <v>1354415.62</v>
      </c>
      <c r="E75" s="390">
        <v>0</v>
      </c>
      <c r="F75" s="390">
        <v>0</v>
      </c>
      <c r="G75" s="390">
        <v>0</v>
      </c>
      <c r="H75" s="390">
        <v>0</v>
      </c>
      <c r="I75" s="390">
        <v>0</v>
      </c>
      <c r="J75" s="390">
        <v>0</v>
      </c>
      <c r="K75" s="390">
        <v>0</v>
      </c>
      <c r="L75" s="390">
        <v>0</v>
      </c>
      <c r="M75" s="390">
        <v>0</v>
      </c>
      <c r="N75" s="390">
        <v>0</v>
      </c>
      <c r="O75" s="54"/>
    </row>
    <row r="76" spans="1:15" ht="14" thickTop="1" x14ac:dyDescent="0.3">
      <c r="A76" s="45" t="s">
        <v>1</v>
      </c>
      <c r="B76" s="20">
        <f>SUM(B56:B75)</f>
        <v>7145175562.8100004</v>
      </c>
      <c r="C76" s="20">
        <f>SUM(C56:C75)</f>
        <v>1932389359.6100004</v>
      </c>
      <c r="D76" s="20">
        <f t="shared" ref="D76:N76" si="3">SUM(D56:D75)</f>
        <v>1162055642.1099997</v>
      </c>
      <c r="E76" s="20">
        <f t="shared" si="3"/>
        <v>1515996770.5699997</v>
      </c>
      <c r="F76" s="20">
        <f t="shared" si="3"/>
        <v>1741557536.6200001</v>
      </c>
      <c r="G76" s="20">
        <f t="shared" si="3"/>
        <v>641780750.73000002</v>
      </c>
      <c r="H76" s="20">
        <f t="shared" si="3"/>
        <v>58325077.689999998</v>
      </c>
      <c r="I76" s="20">
        <f t="shared" si="3"/>
        <v>13612199.559999999</v>
      </c>
      <c r="J76" s="20">
        <f t="shared" si="3"/>
        <v>4635100.41</v>
      </c>
      <c r="K76" s="20">
        <f t="shared" si="3"/>
        <v>8607728.7799999993</v>
      </c>
      <c r="L76" s="20">
        <f t="shared" si="3"/>
        <v>21082848.630000003</v>
      </c>
      <c r="M76" s="20">
        <f t="shared" si="3"/>
        <v>2594085</v>
      </c>
      <c r="N76" s="20">
        <f t="shared" si="3"/>
        <v>42538463.100000001</v>
      </c>
      <c r="O76" s="54"/>
    </row>
    <row r="77" spans="1:15" x14ac:dyDescent="0.3">
      <c r="A77" s="37"/>
      <c r="B77" s="38"/>
      <c r="C77" s="38"/>
      <c r="D77" s="38"/>
      <c r="E77" s="38"/>
      <c r="F77" s="38"/>
      <c r="G77" s="38"/>
      <c r="H77" s="38"/>
      <c r="I77" s="392"/>
      <c r="J77" s="392"/>
      <c r="K77" s="392"/>
      <c r="L77" s="392"/>
      <c r="M77" s="392"/>
      <c r="N77" s="392"/>
      <c r="O77" s="54"/>
    </row>
    <row r="78" spans="1:15" x14ac:dyDescent="0.3">
      <c r="A78" s="37"/>
      <c r="B78" s="38"/>
      <c r="C78" s="38"/>
      <c r="D78" s="38"/>
      <c r="E78" s="38"/>
      <c r="F78" s="38"/>
      <c r="G78" s="38"/>
      <c r="H78" s="38"/>
      <c r="I78" s="392"/>
      <c r="J78" s="392"/>
      <c r="K78" s="392"/>
      <c r="L78" s="392"/>
      <c r="M78" s="392"/>
      <c r="N78" s="392"/>
      <c r="O78" s="54"/>
    </row>
    <row r="79" spans="1:15" x14ac:dyDescent="0.3">
      <c r="O79" s="54"/>
    </row>
    <row r="80" spans="1:15" x14ac:dyDescent="0.3">
      <c r="A80" s="187" t="s">
        <v>226</v>
      </c>
      <c r="B80" s="187"/>
      <c r="C80" s="187"/>
      <c r="D80" s="187"/>
      <c r="E80" s="187"/>
      <c r="F80" s="187"/>
      <c r="G80" s="187"/>
      <c r="H80" s="187"/>
      <c r="I80" s="187"/>
      <c r="J80" s="187"/>
      <c r="K80" s="187"/>
      <c r="L80" s="187"/>
      <c r="M80" s="187"/>
      <c r="N80" s="187"/>
      <c r="O80" s="5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c r="O81" s="185"/>
    </row>
    <row r="82" spans="1:16" x14ac:dyDescent="0.3">
      <c r="A82" s="12"/>
      <c r="B82" s="11"/>
      <c r="C82" s="13"/>
      <c r="D82" s="13"/>
      <c r="E82" s="17"/>
      <c r="F82" s="13"/>
      <c r="G82" s="13"/>
      <c r="H82" s="13"/>
      <c r="I82" s="13"/>
      <c r="J82" s="13"/>
      <c r="K82" s="13"/>
      <c r="L82" s="13"/>
      <c r="M82" s="13"/>
      <c r="N82" s="13"/>
      <c r="O82" s="54"/>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c r="O83" s="54"/>
    </row>
    <row r="84" spans="1:16" x14ac:dyDescent="0.3">
      <c r="A84" s="41" t="s">
        <v>182</v>
      </c>
      <c r="B84" s="437">
        <f>SUM(C84:N84)</f>
        <v>7141011562.8099995</v>
      </c>
      <c r="C84" s="394">
        <f>+C100-C85-C86-C87</f>
        <v>1932389359.6099999</v>
      </c>
      <c r="D84" s="394">
        <f t="shared" ref="D84:N84" si="4">+D100-D85-D86-D87</f>
        <v>1162055642.1100001</v>
      </c>
      <c r="E84" s="394">
        <f t="shared" si="4"/>
        <v>1511832770.5699997</v>
      </c>
      <c r="F84" s="394">
        <f t="shared" si="4"/>
        <v>1741557536.6199999</v>
      </c>
      <c r="G84" s="394">
        <f t="shared" si="4"/>
        <v>641780750.73000002</v>
      </c>
      <c r="H84" s="394">
        <f t="shared" si="4"/>
        <v>58325077.689999998</v>
      </c>
      <c r="I84" s="394">
        <f t="shared" si="4"/>
        <v>13612199.560000001</v>
      </c>
      <c r="J84" s="394">
        <f t="shared" si="4"/>
        <v>4635100.41</v>
      </c>
      <c r="K84" s="394">
        <f t="shared" si="4"/>
        <v>8607728.7799999993</v>
      </c>
      <c r="L84" s="394">
        <f t="shared" si="4"/>
        <v>21082848.629999999</v>
      </c>
      <c r="M84" s="394">
        <f t="shared" si="4"/>
        <v>2594085</v>
      </c>
      <c r="N84" s="394">
        <f t="shared" si="4"/>
        <v>42538463.100000001</v>
      </c>
      <c r="O84" s="54"/>
    </row>
    <row r="85" spans="1:16" x14ac:dyDescent="0.3">
      <c r="A85" s="49" t="s">
        <v>183</v>
      </c>
      <c r="B85" s="397">
        <f t="shared" ref="B85:B87" si="5">SUM(C85:N85)</f>
        <v>0</v>
      </c>
      <c r="C85" s="395"/>
      <c r="D85" s="395">
        <v>0</v>
      </c>
      <c r="E85" s="395">
        <v>0</v>
      </c>
      <c r="F85" s="395"/>
      <c r="G85" s="395"/>
      <c r="H85" s="395"/>
      <c r="I85" s="398"/>
      <c r="J85" s="398"/>
      <c r="K85" s="398"/>
      <c r="L85" s="398"/>
      <c r="M85" s="398"/>
      <c r="N85" s="398"/>
      <c r="O85" s="399"/>
    </row>
    <row r="86" spans="1:16" x14ac:dyDescent="0.3">
      <c r="A86" s="42" t="s">
        <v>184</v>
      </c>
      <c r="B86" s="397">
        <f t="shared" si="5"/>
        <v>4164000</v>
      </c>
      <c r="C86" s="400"/>
      <c r="D86" s="400"/>
      <c r="E86" s="401">
        <f>3541000+623000</f>
        <v>4164000</v>
      </c>
      <c r="F86" s="395"/>
      <c r="G86" s="395"/>
      <c r="H86" s="395"/>
      <c r="I86" s="398"/>
      <c r="J86" s="398"/>
      <c r="K86" s="398"/>
      <c r="L86" s="398"/>
      <c r="M86" s="398"/>
      <c r="N86" s="402"/>
      <c r="O86" s="54"/>
    </row>
    <row r="87" spans="1:16" ht="14" thickBot="1" x14ac:dyDescent="0.35">
      <c r="A87" s="42" t="s">
        <v>185</v>
      </c>
      <c r="B87" s="397">
        <f t="shared" si="5"/>
        <v>0</v>
      </c>
      <c r="C87" s="400"/>
      <c r="D87" s="400"/>
      <c r="E87" s="401"/>
      <c r="F87" s="395"/>
      <c r="G87" s="395"/>
      <c r="H87" s="395"/>
      <c r="I87" s="398"/>
      <c r="J87" s="398"/>
      <c r="K87" s="398"/>
      <c r="L87" s="398"/>
      <c r="M87" s="398"/>
      <c r="N87" s="402"/>
      <c r="O87" s="54"/>
    </row>
    <row r="88" spans="1:16" ht="14" thickTop="1" x14ac:dyDescent="0.3">
      <c r="A88" s="44" t="s">
        <v>1</v>
      </c>
      <c r="B88" s="22">
        <f t="shared" ref="B88:N88" si="6">SUM(B84:B87)</f>
        <v>7145175562.8099995</v>
      </c>
      <c r="C88" s="22">
        <f t="shared" si="6"/>
        <v>1932389359.6099999</v>
      </c>
      <c r="D88" s="22">
        <f t="shared" si="6"/>
        <v>1162055642.1100001</v>
      </c>
      <c r="E88" s="22">
        <f t="shared" si="6"/>
        <v>1515996770.5699997</v>
      </c>
      <c r="F88" s="22">
        <f t="shared" si="6"/>
        <v>1741557536.6199999</v>
      </c>
      <c r="G88" s="22">
        <f t="shared" si="6"/>
        <v>641780750.73000002</v>
      </c>
      <c r="H88" s="22">
        <f t="shared" si="6"/>
        <v>58325077.689999998</v>
      </c>
      <c r="I88" s="22">
        <f t="shared" si="6"/>
        <v>13612199.560000001</v>
      </c>
      <c r="J88" s="22">
        <f t="shared" si="6"/>
        <v>4635100.41</v>
      </c>
      <c r="K88" s="22">
        <f t="shared" si="6"/>
        <v>8607728.7799999993</v>
      </c>
      <c r="L88" s="22">
        <f t="shared" si="6"/>
        <v>21082848.629999999</v>
      </c>
      <c r="M88" s="22">
        <f t="shared" si="6"/>
        <v>2594085</v>
      </c>
      <c r="N88" s="23">
        <f t="shared" si="6"/>
        <v>42538463.100000001</v>
      </c>
      <c r="O88" s="54"/>
    </row>
    <row r="89" spans="1:16" x14ac:dyDescent="0.3">
      <c r="A89" s="26"/>
      <c r="B89" s="40"/>
      <c r="C89" s="40"/>
      <c r="D89" s="40"/>
      <c r="E89" s="40"/>
      <c r="F89" s="40"/>
      <c r="G89" s="40"/>
      <c r="H89" s="40"/>
      <c r="I89" s="40"/>
      <c r="J89" s="40"/>
      <c r="K89" s="40"/>
      <c r="L89" s="40"/>
      <c r="M89" s="40"/>
      <c r="N89" s="40"/>
      <c r="O89" s="54"/>
    </row>
    <row r="90" spans="1:16" x14ac:dyDescent="0.3">
      <c r="O90" s="54"/>
    </row>
    <row r="91" spans="1:16" x14ac:dyDescent="0.3">
      <c r="A91" s="187" t="s">
        <v>227</v>
      </c>
      <c r="B91" s="187"/>
      <c r="C91" s="187"/>
      <c r="D91" s="187"/>
      <c r="E91" s="187"/>
      <c r="F91" s="187"/>
      <c r="G91" s="187"/>
      <c r="H91" s="187"/>
      <c r="I91" s="187"/>
      <c r="J91" s="187"/>
      <c r="K91" s="187"/>
      <c r="L91" s="187"/>
      <c r="M91" s="187"/>
      <c r="N91" s="187"/>
      <c r="O91" s="5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c r="O92" s="54"/>
    </row>
    <row r="93" spans="1:16" x14ac:dyDescent="0.3">
      <c r="A93" s="46"/>
      <c r="B93" s="11"/>
      <c r="C93" s="13"/>
      <c r="D93" s="13"/>
      <c r="E93" s="17"/>
      <c r="F93" s="13"/>
      <c r="G93" s="13"/>
      <c r="H93" s="13"/>
      <c r="I93" s="13"/>
      <c r="J93" s="13"/>
      <c r="K93" s="13"/>
      <c r="L93" s="13"/>
      <c r="M93" s="13"/>
      <c r="N93" s="13"/>
      <c r="O93" s="185"/>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c r="O94" s="54"/>
    </row>
    <row r="95" spans="1:16" x14ac:dyDescent="0.3">
      <c r="A95" s="42" t="s">
        <v>62</v>
      </c>
      <c r="B95" s="393">
        <f>SUM(C95:N95)</f>
        <v>700550524.79999995</v>
      </c>
      <c r="C95" s="403">
        <v>92467127.939999998</v>
      </c>
      <c r="D95" s="404">
        <v>102339241.89</v>
      </c>
      <c r="E95" s="404">
        <v>167448523.49000001</v>
      </c>
      <c r="F95" s="404">
        <v>209590157.47999999</v>
      </c>
      <c r="G95" s="404">
        <v>116444719</v>
      </c>
      <c r="H95" s="405">
        <v>8255879</v>
      </c>
      <c r="I95" s="406">
        <v>0</v>
      </c>
      <c r="J95" s="397">
        <v>0</v>
      </c>
      <c r="K95" s="393">
        <v>0</v>
      </c>
      <c r="L95" s="407">
        <v>0</v>
      </c>
      <c r="M95" s="407">
        <v>2594085</v>
      </c>
      <c r="N95" s="393">
        <v>1410791</v>
      </c>
      <c r="O95" s="54"/>
    </row>
    <row r="96" spans="1:16" x14ac:dyDescent="0.3">
      <c r="A96" s="42" t="s">
        <v>63</v>
      </c>
      <c r="B96" s="397">
        <f t="shared" ref="B96:B99" si="7">SUM(C96:N96)</f>
        <v>1406932380.0299997</v>
      </c>
      <c r="C96" s="408">
        <v>232927427.54999998</v>
      </c>
      <c r="D96" s="405">
        <v>195177361.27000001</v>
      </c>
      <c r="E96" s="405">
        <v>311329918.25999999</v>
      </c>
      <c r="F96" s="405">
        <v>484463338.10999995</v>
      </c>
      <c r="G96" s="405">
        <v>147675191.17000002</v>
      </c>
      <c r="H96" s="405">
        <v>3300196.33</v>
      </c>
      <c r="I96" s="406">
        <v>7940000</v>
      </c>
      <c r="J96" s="397">
        <v>1282500</v>
      </c>
      <c r="K96" s="397">
        <v>0</v>
      </c>
      <c r="L96" s="406">
        <v>12294831.34</v>
      </c>
      <c r="M96" s="406">
        <v>0</v>
      </c>
      <c r="N96" s="397">
        <v>10541616</v>
      </c>
      <c r="O96" s="54"/>
    </row>
    <row r="97" spans="1:15" x14ac:dyDescent="0.3">
      <c r="A97" s="42" t="s">
        <v>64</v>
      </c>
      <c r="B97" s="397">
        <f t="shared" si="7"/>
        <v>1537680880.4299998</v>
      </c>
      <c r="C97" s="408">
        <v>317008880.99000001</v>
      </c>
      <c r="D97" s="405">
        <v>223868064.80000001</v>
      </c>
      <c r="E97" s="405">
        <v>340711961.13999999</v>
      </c>
      <c r="F97" s="405">
        <v>419150175.75999993</v>
      </c>
      <c r="G97" s="405">
        <v>209622011.66</v>
      </c>
      <c r="H97" s="405">
        <v>16147388</v>
      </c>
      <c r="I97" s="406">
        <v>0</v>
      </c>
      <c r="J97" s="397">
        <v>0</v>
      </c>
      <c r="K97" s="397">
        <v>0</v>
      </c>
      <c r="L97" s="406">
        <v>3508208.08</v>
      </c>
      <c r="M97" s="406">
        <v>0</v>
      </c>
      <c r="N97" s="397">
        <v>7664190</v>
      </c>
      <c r="O97" s="54"/>
    </row>
    <row r="98" spans="1:15" x14ac:dyDescent="0.3">
      <c r="A98" s="42" t="s">
        <v>65</v>
      </c>
      <c r="B98" s="397">
        <f t="shared" si="7"/>
        <v>1630910692.9699998</v>
      </c>
      <c r="C98" s="408">
        <v>472035972.65000004</v>
      </c>
      <c r="D98" s="405">
        <v>304416903.69999993</v>
      </c>
      <c r="E98" s="405">
        <v>335477871.30999994</v>
      </c>
      <c r="F98" s="405">
        <v>365953293.13999993</v>
      </c>
      <c r="G98" s="405">
        <v>118422974.47999999</v>
      </c>
      <c r="H98" s="405">
        <v>19033929.539999999</v>
      </c>
      <c r="I98" s="406">
        <v>3609418.96</v>
      </c>
      <c r="J98" s="397">
        <v>3352600.41</v>
      </c>
      <c r="K98" s="397">
        <v>8607728.7799999993</v>
      </c>
      <c r="L98" s="406">
        <v>0</v>
      </c>
      <c r="M98" s="406">
        <v>0</v>
      </c>
      <c r="N98" s="397">
        <v>0</v>
      </c>
      <c r="O98" s="54"/>
    </row>
    <row r="99" spans="1:15" ht="14" thickBot="1" x14ac:dyDescent="0.35">
      <c r="A99" s="43" t="s">
        <v>66</v>
      </c>
      <c r="B99" s="409">
        <f t="shared" si="7"/>
        <v>1869101084.5799997</v>
      </c>
      <c r="C99" s="410">
        <v>817949950.47999978</v>
      </c>
      <c r="D99" s="410">
        <v>336254070.45000005</v>
      </c>
      <c r="E99" s="410">
        <v>361028496.36999995</v>
      </c>
      <c r="F99" s="410">
        <v>262400572.13000003</v>
      </c>
      <c r="G99" s="410">
        <v>49615854.420000009</v>
      </c>
      <c r="H99" s="410">
        <v>11587684.82</v>
      </c>
      <c r="I99" s="411">
        <v>2062780.6</v>
      </c>
      <c r="J99" s="409">
        <v>0</v>
      </c>
      <c r="K99" s="409">
        <v>0</v>
      </c>
      <c r="L99" s="411">
        <v>5279809.21</v>
      </c>
      <c r="M99" s="411">
        <v>0</v>
      </c>
      <c r="N99" s="409">
        <v>22921866.100000001</v>
      </c>
      <c r="O99" s="54"/>
    </row>
    <row r="100" spans="1:15" ht="14" thickTop="1" x14ac:dyDescent="0.3">
      <c r="A100" s="42" t="s">
        <v>1</v>
      </c>
      <c r="B100" s="412">
        <f>SUM(B95:B99)</f>
        <v>7145175562.8099995</v>
      </c>
      <c r="C100" s="412">
        <f>SUM(C95:C99)</f>
        <v>1932389359.6099999</v>
      </c>
      <c r="D100" s="412">
        <f t="shared" ref="D100:N100" si="8">SUM(D95:D99)</f>
        <v>1162055642.1100001</v>
      </c>
      <c r="E100" s="412">
        <f t="shared" si="8"/>
        <v>1515996770.5699997</v>
      </c>
      <c r="F100" s="412">
        <f t="shared" si="8"/>
        <v>1741557536.6199999</v>
      </c>
      <c r="G100" s="412">
        <f t="shared" si="8"/>
        <v>641780750.73000002</v>
      </c>
      <c r="H100" s="412">
        <f t="shared" si="8"/>
        <v>58325077.689999998</v>
      </c>
      <c r="I100" s="412">
        <f t="shared" si="8"/>
        <v>13612199.560000001</v>
      </c>
      <c r="J100" s="412">
        <f t="shared" si="8"/>
        <v>4635100.41</v>
      </c>
      <c r="K100" s="412">
        <f t="shared" si="8"/>
        <v>8607728.7799999993</v>
      </c>
      <c r="L100" s="412">
        <f t="shared" si="8"/>
        <v>21082848.629999999</v>
      </c>
      <c r="M100" s="412">
        <f t="shared" si="8"/>
        <v>2594085</v>
      </c>
      <c r="N100" s="412">
        <f t="shared" si="8"/>
        <v>42538463.100000001</v>
      </c>
      <c r="O100" s="399"/>
    </row>
    <row r="101" spans="1:15" x14ac:dyDescent="0.3">
      <c r="A101" s="26"/>
      <c r="B101" s="413"/>
      <c r="C101" s="413"/>
      <c r="D101" s="413"/>
      <c r="E101" s="413"/>
      <c r="F101" s="413"/>
      <c r="G101" s="413"/>
      <c r="H101" s="413"/>
      <c r="I101" s="413"/>
      <c r="J101" s="413"/>
      <c r="K101" s="413"/>
      <c r="L101" s="413"/>
      <c r="M101" s="413"/>
      <c r="N101" s="413"/>
      <c r="O101" s="55"/>
    </row>
    <row r="102" spans="1:15" x14ac:dyDescent="0.3">
      <c r="A102" s="67"/>
      <c r="O102" s="54"/>
    </row>
    <row r="103" spans="1:15" x14ac:dyDescent="0.3">
      <c r="A103" s="187" t="s">
        <v>228</v>
      </c>
      <c r="B103" s="187"/>
      <c r="C103" s="187"/>
      <c r="D103" s="187"/>
      <c r="E103" s="187"/>
      <c r="F103" s="187"/>
      <c r="G103" s="187"/>
      <c r="H103" s="187"/>
      <c r="I103" s="187"/>
      <c r="J103" s="187"/>
      <c r="K103" s="187"/>
      <c r="L103" s="187"/>
      <c r="M103" s="187"/>
      <c r="N103" s="187"/>
      <c r="O103" s="54"/>
    </row>
    <row r="104" spans="1:15" x14ac:dyDescent="0.3">
      <c r="A104" s="108"/>
      <c r="B104" s="110"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c r="O104" s="54"/>
    </row>
    <row r="105" spans="1:15" x14ac:dyDescent="0.3">
      <c r="A105" s="46"/>
      <c r="B105" s="13"/>
      <c r="C105" s="13"/>
      <c r="D105" s="13"/>
      <c r="E105" s="17"/>
      <c r="F105" s="13"/>
      <c r="G105" s="13"/>
      <c r="H105" s="13"/>
      <c r="I105" s="13"/>
      <c r="J105" s="13"/>
      <c r="K105" s="13"/>
      <c r="L105" s="13"/>
      <c r="M105" s="13"/>
      <c r="N105" s="13"/>
      <c r="O105" s="54"/>
    </row>
    <row r="106" spans="1:15" ht="27" x14ac:dyDescent="0.3">
      <c r="A106" s="47"/>
      <c r="B106" s="15" t="s">
        <v>4</v>
      </c>
      <c r="C106" s="15" t="s">
        <v>4</v>
      </c>
      <c r="D106" s="15" t="s">
        <v>4</v>
      </c>
      <c r="E106" s="14" t="s">
        <v>4</v>
      </c>
      <c r="F106" s="15" t="s">
        <v>4</v>
      </c>
      <c r="G106" s="15" t="s">
        <v>4</v>
      </c>
      <c r="H106" s="15" t="s">
        <v>4</v>
      </c>
      <c r="I106" s="15" t="s">
        <v>4</v>
      </c>
      <c r="J106" s="15" t="s">
        <v>4</v>
      </c>
      <c r="K106" s="15" t="s">
        <v>4</v>
      </c>
      <c r="L106" s="15" t="s">
        <v>4</v>
      </c>
      <c r="M106" s="15" t="s">
        <v>4</v>
      </c>
      <c r="N106" s="15" t="s">
        <v>4</v>
      </c>
      <c r="O106" s="54"/>
    </row>
    <row r="107" spans="1:15" ht="14.5" x14ac:dyDescent="0.35">
      <c r="A107" s="42" t="s">
        <v>201</v>
      </c>
      <c r="B107" s="414">
        <f>SUM(C107:N107)</f>
        <v>7118419508.7100029</v>
      </c>
      <c r="C107" s="414">
        <v>1917871245.0400026</v>
      </c>
      <c r="D107" s="387">
        <v>1160576999.1100001</v>
      </c>
      <c r="E107" s="414">
        <v>1511097366.0400002</v>
      </c>
      <c r="F107" s="387">
        <v>1735697644.6200008</v>
      </c>
      <c r="G107" s="414">
        <v>641780750.7299999</v>
      </c>
      <c r="H107" s="387">
        <v>58325077.689999998</v>
      </c>
      <c r="I107" s="414">
        <v>13612199.560000001</v>
      </c>
      <c r="J107" s="387">
        <v>4635100.41</v>
      </c>
      <c r="K107" s="414">
        <v>8607728.7799999993</v>
      </c>
      <c r="L107" s="387">
        <v>21082848.629999999</v>
      </c>
      <c r="M107" s="414">
        <v>2594085</v>
      </c>
      <c r="N107" s="387">
        <v>42538463.099999994</v>
      </c>
      <c r="O107" s="54"/>
    </row>
    <row r="108" spans="1:15" ht="14.5" x14ac:dyDescent="0.35">
      <c r="A108" s="42" t="s">
        <v>202</v>
      </c>
      <c r="B108" s="415">
        <f t="shared" ref="B108:B109" si="9">SUM(C108:N108)</f>
        <v>22507701.100000001</v>
      </c>
      <c r="C108" s="415">
        <v>10269761.57</v>
      </c>
      <c r="D108" s="387">
        <v>1478643</v>
      </c>
      <c r="E108" s="415">
        <v>4899404.53</v>
      </c>
      <c r="F108" s="387">
        <v>5859892</v>
      </c>
      <c r="G108" s="415">
        <v>0</v>
      </c>
      <c r="H108" s="387">
        <v>0</v>
      </c>
      <c r="I108" s="415">
        <v>0</v>
      </c>
      <c r="J108" s="387">
        <v>0</v>
      </c>
      <c r="K108" s="415">
        <v>0</v>
      </c>
      <c r="L108" s="387">
        <v>0</v>
      </c>
      <c r="M108" s="415">
        <v>0</v>
      </c>
      <c r="N108" s="387">
        <v>0</v>
      </c>
      <c r="O108" s="54"/>
    </row>
    <row r="109" spans="1:15" x14ac:dyDescent="0.3">
      <c r="A109" s="42" t="s">
        <v>58</v>
      </c>
      <c r="B109" s="416">
        <f t="shared" si="9"/>
        <v>4248353</v>
      </c>
      <c r="C109" s="416">
        <v>4248353</v>
      </c>
      <c r="D109" s="417">
        <v>0</v>
      </c>
      <c r="E109" s="416">
        <v>0</v>
      </c>
      <c r="F109" s="417">
        <v>0</v>
      </c>
      <c r="G109" s="416">
        <v>0</v>
      </c>
      <c r="H109" s="418">
        <v>0</v>
      </c>
      <c r="I109" s="419">
        <v>0</v>
      </c>
      <c r="J109" s="420">
        <v>0</v>
      </c>
      <c r="K109" s="419">
        <v>0</v>
      </c>
      <c r="L109" s="420">
        <v>0</v>
      </c>
      <c r="M109" s="419">
        <v>0</v>
      </c>
      <c r="N109" s="421">
        <v>0</v>
      </c>
      <c r="O109" s="54"/>
    </row>
    <row r="110" spans="1:15" ht="14" thickBot="1" x14ac:dyDescent="0.35">
      <c r="A110" s="43" t="s">
        <v>203</v>
      </c>
      <c r="B110" s="422">
        <v>0</v>
      </c>
      <c r="C110" s="422">
        <v>0</v>
      </c>
      <c r="D110" s="417">
        <v>0</v>
      </c>
      <c r="E110" s="422">
        <v>0</v>
      </c>
      <c r="F110" s="417">
        <v>0</v>
      </c>
      <c r="G110" s="422">
        <v>0</v>
      </c>
      <c r="H110" s="418">
        <v>0</v>
      </c>
      <c r="I110" s="423">
        <v>0</v>
      </c>
      <c r="J110" s="420">
        <v>0</v>
      </c>
      <c r="K110" s="423">
        <v>0</v>
      </c>
      <c r="L110" s="420">
        <v>0</v>
      </c>
      <c r="M110" s="423">
        <v>0</v>
      </c>
      <c r="N110" s="424">
        <v>0</v>
      </c>
      <c r="O110" s="54"/>
    </row>
    <row r="111" spans="1:15" ht="14" thickTop="1" x14ac:dyDescent="0.3">
      <c r="A111" s="42" t="s">
        <v>1</v>
      </c>
      <c r="B111" s="97">
        <f>SUM(B107:B110)</f>
        <v>7145175562.8100033</v>
      </c>
      <c r="C111" s="97">
        <f>SUM(C107:C110)</f>
        <v>1932389359.6100025</v>
      </c>
      <c r="D111" s="97">
        <f t="shared" ref="D111:N111" si="10">SUM(D107:D110)</f>
        <v>1162055642.1100001</v>
      </c>
      <c r="E111" s="97">
        <f t="shared" si="10"/>
        <v>1515996770.5700002</v>
      </c>
      <c r="F111" s="97">
        <f t="shared" si="10"/>
        <v>1741557536.6200008</v>
      </c>
      <c r="G111" s="97">
        <f t="shared" si="10"/>
        <v>641780750.7299999</v>
      </c>
      <c r="H111" s="97">
        <f t="shared" si="10"/>
        <v>58325077.689999998</v>
      </c>
      <c r="I111" s="97">
        <f t="shared" si="10"/>
        <v>13612199.560000001</v>
      </c>
      <c r="J111" s="97">
        <f t="shared" si="10"/>
        <v>4635100.41</v>
      </c>
      <c r="K111" s="97">
        <f t="shared" si="10"/>
        <v>8607728.7799999993</v>
      </c>
      <c r="L111" s="97">
        <f t="shared" si="10"/>
        <v>21082848.629999999</v>
      </c>
      <c r="M111" s="97">
        <f t="shared" si="10"/>
        <v>2594085</v>
      </c>
      <c r="N111" s="97">
        <f t="shared" si="10"/>
        <v>42538463.099999994</v>
      </c>
      <c r="O111" s="54"/>
    </row>
    <row r="112" spans="1:15" x14ac:dyDescent="0.3">
      <c r="A112" s="26"/>
      <c r="B112" s="99"/>
      <c r="C112" s="99"/>
      <c r="D112" s="99"/>
      <c r="E112" s="99"/>
      <c r="F112" s="99"/>
      <c r="G112" s="99"/>
      <c r="H112" s="99"/>
      <c r="I112" s="99"/>
      <c r="J112" s="99"/>
      <c r="K112" s="99"/>
      <c r="L112" s="99"/>
      <c r="M112" s="99"/>
      <c r="N112" s="99"/>
    </row>
    <row r="114" spans="1:15" x14ac:dyDescent="0.3">
      <c r="A114" s="187" t="s">
        <v>229</v>
      </c>
      <c r="B114" s="187"/>
      <c r="C114" s="187"/>
      <c r="D114" s="187"/>
      <c r="E114" s="187"/>
      <c r="F114" s="187"/>
      <c r="G114" s="187"/>
      <c r="H114" s="187"/>
      <c r="I114" s="187"/>
      <c r="J114" s="187"/>
      <c r="K114" s="187"/>
      <c r="L114" s="187"/>
      <c r="M114" s="187"/>
      <c r="N114" s="187"/>
      <c r="O114" s="5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c r="O115" s="54"/>
    </row>
    <row r="116" spans="1:15" x14ac:dyDescent="0.3">
      <c r="A116" s="48"/>
      <c r="B116" s="11"/>
      <c r="C116" s="13"/>
      <c r="D116" s="13"/>
      <c r="E116" s="17"/>
      <c r="F116" s="13"/>
      <c r="G116" s="13"/>
      <c r="H116" s="13"/>
      <c r="I116" s="13"/>
      <c r="J116" s="13"/>
      <c r="K116" s="13"/>
      <c r="L116" s="13"/>
      <c r="M116" s="13"/>
      <c r="N116" s="13"/>
      <c r="O116" s="54"/>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c r="O117" s="54"/>
    </row>
    <row r="118" spans="1:15" x14ac:dyDescent="0.3">
      <c r="A118" s="42" t="s">
        <v>57</v>
      </c>
      <c r="B118" s="394">
        <f>SUM(C118:N118)</f>
        <v>7145175562.8100014</v>
      </c>
      <c r="C118" s="394">
        <v>1932389359.6099999</v>
      </c>
      <c r="D118" s="394">
        <v>1162055642.1100001</v>
      </c>
      <c r="E118" s="394">
        <v>1515996770.5700002</v>
      </c>
      <c r="F118" s="394">
        <v>1741557536.6200008</v>
      </c>
      <c r="G118" s="394">
        <v>641780750.7299999</v>
      </c>
      <c r="H118" s="394">
        <v>58325077.689999998</v>
      </c>
      <c r="I118" s="396">
        <v>13612199.560000001</v>
      </c>
      <c r="J118" s="396">
        <v>4635100.41</v>
      </c>
      <c r="K118" s="396">
        <v>8607728.7799999993</v>
      </c>
      <c r="L118" s="396">
        <v>21082848.629999999</v>
      </c>
      <c r="M118" s="396">
        <v>2594085</v>
      </c>
      <c r="N118" s="396">
        <v>42538463.099999994</v>
      </c>
      <c r="O118" s="399"/>
    </row>
    <row r="119" spans="1:15" x14ac:dyDescent="0.3">
      <c r="A119" s="42" t="s">
        <v>67</v>
      </c>
      <c r="B119" s="100"/>
      <c r="C119" s="417"/>
      <c r="D119" s="417"/>
      <c r="E119" s="417"/>
      <c r="F119" s="417"/>
      <c r="G119" s="417"/>
      <c r="H119" s="417"/>
      <c r="I119" s="425"/>
      <c r="J119" s="425"/>
      <c r="K119" s="425"/>
      <c r="L119" s="425"/>
      <c r="M119" s="425"/>
      <c r="N119" s="425"/>
      <c r="O119" s="399"/>
    </row>
    <row r="120" spans="1:15" x14ac:dyDescent="0.3">
      <c r="A120" s="42" t="s">
        <v>68</v>
      </c>
      <c r="B120" s="100"/>
      <c r="C120" s="417"/>
      <c r="D120" s="417"/>
      <c r="E120" s="417"/>
      <c r="F120" s="417"/>
      <c r="G120" s="417"/>
      <c r="H120" s="417"/>
      <c r="I120" s="425"/>
      <c r="J120" s="425"/>
      <c r="K120" s="425"/>
      <c r="L120" s="425"/>
      <c r="M120" s="425"/>
      <c r="N120" s="425"/>
      <c r="O120" s="399"/>
    </row>
    <row r="121" spans="1:15" ht="14" thickBot="1" x14ac:dyDescent="0.35">
      <c r="A121" s="43" t="s">
        <v>69</v>
      </c>
      <c r="B121" s="93"/>
      <c r="C121" s="426"/>
      <c r="D121" s="426"/>
      <c r="E121" s="426"/>
      <c r="F121" s="426"/>
      <c r="G121" s="426"/>
      <c r="H121" s="426"/>
      <c r="I121" s="427"/>
      <c r="J121" s="427"/>
      <c r="K121" s="427"/>
      <c r="L121" s="427"/>
      <c r="M121" s="427"/>
      <c r="N121" s="427"/>
      <c r="O121" s="399"/>
    </row>
    <row r="122" spans="1:15" ht="14" thickTop="1" x14ac:dyDescent="0.3">
      <c r="A122" s="42" t="s">
        <v>1</v>
      </c>
      <c r="B122" s="97">
        <f>SUM(B118:B121)</f>
        <v>7145175562.8100014</v>
      </c>
      <c r="C122" s="97">
        <f>SUM(C118:C121)</f>
        <v>1932389359.6099999</v>
      </c>
      <c r="D122" s="97">
        <f t="shared" ref="D122:N122" si="11">SUM(D118:D121)</f>
        <v>1162055642.1100001</v>
      </c>
      <c r="E122" s="97">
        <f t="shared" si="11"/>
        <v>1515996770.5700002</v>
      </c>
      <c r="F122" s="97">
        <f t="shared" si="11"/>
        <v>1741557536.6200008</v>
      </c>
      <c r="G122" s="97">
        <f t="shared" si="11"/>
        <v>641780750.7299999</v>
      </c>
      <c r="H122" s="97">
        <f t="shared" si="11"/>
        <v>58325077.689999998</v>
      </c>
      <c r="I122" s="97">
        <f t="shared" si="11"/>
        <v>13612199.560000001</v>
      </c>
      <c r="J122" s="97">
        <f t="shared" si="11"/>
        <v>4635100.41</v>
      </c>
      <c r="K122" s="97">
        <f t="shared" si="11"/>
        <v>8607728.7799999993</v>
      </c>
      <c r="L122" s="97">
        <f t="shared" si="11"/>
        <v>21082848.629999999</v>
      </c>
      <c r="M122" s="97">
        <f t="shared" si="11"/>
        <v>2594085</v>
      </c>
      <c r="N122" s="97">
        <f t="shared" si="11"/>
        <v>42538463.099999994</v>
      </c>
      <c r="O122" s="399"/>
    </row>
    <row r="123" spans="1:15" x14ac:dyDescent="0.3">
      <c r="A123" s="26"/>
      <c r="B123" s="99"/>
      <c r="C123" s="99"/>
      <c r="D123" s="99"/>
      <c r="E123" s="99"/>
      <c r="F123" s="99"/>
      <c r="G123" s="99"/>
      <c r="H123" s="99"/>
      <c r="I123" s="99"/>
      <c r="J123" s="99"/>
      <c r="K123" s="99"/>
      <c r="L123" s="99"/>
      <c r="M123" s="99"/>
      <c r="N123" s="99"/>
      <c r="O123" s="55"/>
    </row>
    <row r="124" spans="1:15" x14ac:dyDescent="0.3">
      <c r="O124" s="54"/>
    </row>
    <row r="125" spans="1:15" x14ac:dyDescent="0.3">
      <c r="A125" s="187" t="s">
        <v>230</v>
      </c>
      <c r="B125" s="187"/>
      <c r="C125" s="187"/>
      <c r="D125" s="187"/>
      <c r="E125" s="187"/>
      <c r="F125" s="187"/>
      <c r="G125" s="187"/>
      <c r="H125" s="187"/>
      <c r="I125" s="187"/>
      <c r="J125" s="54"/>
    </row>
    <row r="126" spans="1:15" ht="40.5" x14ac:dyDescent="0.3">
      <c r="A126" s="109" t="s">
        <v>50</v>
      </c>
      <c r="B126" s="109" t="s">
        <v>51</v>
      </c>
      <c r="C126" s="149" t="s">
        <v>204</v>
      </c>
      <c r="D126" s="149" t="s">
        <v>59</v>
      </c>
      <c r="E126" s="149" t="s">
        <v>61</v>
      </c>
      <c r="F126" s="149" t="s">
        <v>53</v>
      </c>
      <c r="G126" s="150" t="s">
        <v>60</v>
      </c>
      <c r="H126" s="151" t="s">
        <v>54</v>
      </c>
      <c r="I126" s="150" t="s">
        <v>55</v>
      </c>
      <c r="J126" s="54"/>
    </row>
    <row r="127" spans="1:15" x14ac:dyDescent="0.3">
      <c r="A127" s="42" t="s">
        <v>94</v>
      </c>
      <c r="B127" s="70" t="s">
        <v>3</v>
      </c>
      <c r="C127" s="419">
        <v>95000000</v>
      </c>
      <c r="D127" s="277" t="s">
        <v>102</v>
      </c>
      <c r="E127" s="277">
        <v>43357</v>
      </c>
      <c r="F127" s="101" t="s">
        <v>56</v>
      </c>
      <c r="G127" s="101" t="s">
        <v>108</v>
      </c>
      <c r="H127" s="277" t="s">
        <v>112</v>
      </c>
      <c r="I127" s="143">
        <v>7</v>
      </c>
      <c r="J127" s="54"/>
    </row>
    <row r="128" spans="1:15" x14ac:dyDescent="0.3">
      <c r="A128" s="42" t="s">
        <v>164</v>
      </c>
      <c r="B128" s="70" t="s">
        <v>3</v>
      </c>
      <c r="C128" s="419">
        <v>664000000</v>
      </c>
      <c r="D128" s="277">
        <f>E128-365</f>
        <v>43242</v>
      </c>
      <c r="E128" s="277">
        <v>43607</v>
      </c>
      <c r="F128" s="101" t="s">
        <v>56</v>
      </c>
      <c r="G128" s="101" t="s">
        <v>108</v>
      </c>
      <c r="H128" s="277">
        <v>41355</v>
      </c>
      <c r="I128" s="143">
        <v>9</v>
      </c>
      <c r="J128" s="54"/>
    </row>
    <row r="129" spans="1:14" x14ac:dyDescent="0.3">
      <c r="A129" s="42" t="s">
        <v>200</v>
      </c>
      <c r="B129" s="70" t="s">
        <v>3</v>
      </c>
      <c r="C129" s="419">
        <v>650000000</v>
      </c>
      <c r="D129" s="309">
        <v>43438</v>
      </c>
      <c r="E129" s="309">
        <v>43803</v>
      </c>
      <c r="F129" s="143" t="s">
        <v>58</v>
      </c>
      <c r="G129" s="143" t="s">
        <v>109</v>
      </c>
      <c r="H129" s="309">
        <v>41521</v>
      </c>
      <c r="I129" s="143">
        <v>11</v>
      </c>
      <c r="J129" s="54"/>
    </row>
    <row r="130" spans="1:14" x14ac:dyDescent="0.3">
      <c r="A130" s="42" t="s">
        <v>206</v>
      </c>
      <c r="B130" s="70" t="s">
        <v>3</v>
      </c>
      <c r="C130" s="419">
        <v>2000000000</v>
      </c>
      <c r="D130" s="277">
        <v>43640</v>
      </c>
      <c r="E130" s="277">
        <v>44006</v>
      </c>
      <c r="F130" s="101" t="s">
        <v>56</v>
      </c>
      <c r="G130" s="101" t="s">
        <v>108</v>
      </c>
      <c r="H130" s="309">
        <v>41663</v>
      </c>
      <c r="I130" s="143">
        <v>12</v>
      </c>
      <c r="J130" s="54"/>
    </row>
    <row r="131" spans="1:14" x14ac:dyDescent="0.3">
      <c r="A131" s="42" t="s">
        <v>207</v>
      </c>
      <c r="B131" s="70" t="s">
        <v>3</v>
      </c>
      <c r="C131" s="419">
        <v>2000000000</v>
      </c>
      <c r="D131" s="277">
        <v>44315</v>
      </c>
      <c r="E131" s="277">
        <v>44680</v>
      </c>
      <c r="F131" s="101" t="s">
        <v>56</v>
      </c>
      <c r="G131" s="101" t="s">
        <v>108</v>
      </c>
      <c r="H131" s="309">
        <v>41521</v>
      </c>
      <c r="I131" s="143">
        <v>13</v>
      </c>
      <c r="J131" s="54"/>
    </row>
    <row r="132" spans="1:14" x14ac:dyDescent="0.3">
      <c r="A132" s="42" t="s">
        <v>250</v>
      </c>
      <c r="B132" s="70" t="s">
        <v>3</v>
      </c>
      <c r="C132" s="425">
        <v>200000000</v>
      </c>
      <c r="D132" s="277">
        <v>44522</v>
      </c>
      <c r="E132" s="277">
        <v>44887</v>
      </c>
      <c r="F132" s="101" t="s">
        <v>58</v>
      </c>
      <c r="G132" s="101" t="s">
        <v>109</v>
      </c>
      <c r="H132" s="309">
        <v>42696</v>
      </c>
      <c r="I132" s="143">
        <v>14</v>
      </c>
      <c r="J132" s="54"/>
    </row>
    <row r="133" spans="1:14" ht="14" thickBot="1" x14ac:dyDescent="0.35">
      <c r="A133" s="43" t="s">
        <v>251</v>
      </c>
      <c r="B133" s="169" t="s">
        <v>3</v>
      </c>
      <c r="C133" s="427">
        <v>1100000000</v>
      </c>
      <c r="D133" s="275">
        <v>44708</v>
      </c>
      <c r="E133" s="275">
        <v>45073</v>
      </c>
      <c r="F133" s="172" t="s">
        <v>56</v>
      </c>
      <c r="G133" s="171" t="s">
        <v>108</v>
      </c>
      <c r="H133" s="278">
        <v>42913</v>
      </c>
      <c r="I133" s="172">
        <v>15</v>
      </c>
      <c r="J133" s="54"/>
    </row>
    <row r="134" spans="1:14" ht="14" thickTop="1" x14ac:dyDescent="0.3">
      <c r="A134" s="26"/>
      <c r="B134" s="67"/>
      <c r="C134" s="367">
        <f>SUM(C127:C133)</f>
        <v>6709000000</v>
      </c>
      <c r="D134" s="429"/>
      <c r="E134" s="429"/>
      <c r="F134" s="105"/>
      <c r="G134" s="105"/>
      <c r="H134" s="429"/>
      <c r="I134" s="105"/>
      <c r="J134" s="54"/>
    </row>
    <row r="135" spans="1:14" s="67" customFormat="1" x14ac:dyDescent="0.3">
      <c r="A135" s="26"/>
      <c r="C135" s="420"/>
      <c r="D135" s="102"/>
      <c r="E135" s="102"/>
      <c r="F135" s="105"/>
      <c r="I135" s="102"/>
    </row>
    <row r="136" spans="1:14" s="67" customFormat="1" x14ac:dyDescent="0.3">
      <c r="A136" s="26"/>
      <c r="C136" s="420"/>
      <c r="D136" s="102"/>
      <c r="E136" s="102"/>
      <c r="F136" s="105"/>
      <c r="I136" s="102"/>
    </row>
    <row r="137" spans="1:14" s="67" customFormat="1" x14ac:dyDescent="0.3">
      <c r="A137" s="187" t="s">
        <v>231</v>
      </c>
      <c r="B137" s="187"/>
      <c r="C137" s="187"/>
      <c r="D137" s="187"/>
      <c r="E137" s="187"/>
      <c r="F137" s="187"/>
      <c r="G137" s="55"/>
      <c r="I137" s="102"/>
    </row>
    <row r="138" spans="1:14" s="67" customFormat="1" x14ac:dyDescent="0.3">
      <c r="A138" s="136" t="s">
        <v>119</v>
      </c>
      <c r="B138" s="19" t="s">
        <v>50</v>
      </c>
      <c r="C138" s="19" t="s">
        <v>120</v>
      </c>
      <c r="D138" s="19" t="s">
        <v>51</v>
      </c>
      <c r="E138" s="63" t="s">
        <v>121</v>
      </c>
      <c r="F138" s="63" t="s">
        <v>166</v>
      </c>
      <c r="G138" s="55"/>
      <c r="I138" s="102"/>
    </row>
    <row r="139" spans="1:14" s="67" customFormat="1" x14ac:dyDescent="0.3">
      <c r="A139" s="8" t="s">
        <v>123</v>
      </c>
      <c r="B139" s="430" t="s">
        <v>124</v>
      </c>
      <c r="C139" s="430" t="s">
        <v>125</v>
      </c>
      <c r="D139" s="430" t="s">
        <v>3</v>
      </c>
      <c r="E139" s="419">
        <v>292320000</v>
      </c>
      <c r="F139" s="196" t="s">
        <v>277</v>
      </c>
      <c r="G139" s="438"/>
      <c r="I139" s="102"/>
      <c r="L139" s="439"/>
      <c r="N139" s="440"/>
    </row>
    <row r="140" spans="1:14" s="67" customFormat="1" x14ac:dyDescent="0.3">
      <c r="A140" s="7" t="s">
        <v>211</v>
      </c>
      <c r="B140" s="372" t="s">
        <v>216</v>
      </c>
      <c r="C140" s="372" t="s">
        <v>128</v>
      </c>
      <c r="D140" s="372" t="s">
        <v>3</v>
      </c>
      <c r="E140" s="425">
        <v>124000000</v>
      </c>
      <c r="F140" s="196" t="s">
        <v>195</v>
      </c>
      <c r="G140" s="438"/>
      <c r="I140" s="102"/>
      <c r="L140" s="439"/>
      <c r="N140" s="440"/>
    </row>
    <row r="141" spans="1:14" s="67" customFormat="1" x14ac:dyDescent="0.3">
      <c r="A141" s="7" t="s">
        <v>190</v>
      </c>
      <c r="B141" s="372" t="s">
        <v>194</v>
      </c>
      <c r="C141" s="372" t="s">
        <v>128</v>
      </c>
      <c r="D141" s="372" t="s">
        <v>3</v>
      </c>
      <c r="E141" s="419">
        <v>45000000</v>
      </c>
      <c r="F141" s="358" t="s">
        <v>129</v>
      </c>
      <c r="G141" s="438"/>
      <c r="I141" s="102"/>
      <c r="L141" s="439"/>
      <c r="N141" s="440"/>
    </row>
    <row r="142" spans="1:14" s="67" customFormat="1" x14ac:dyDescent="0.3">
      <c r="A142" s="7" t="s">
        <v>175</v>
      </c>
      <c r="B142" s="372" t="s">
        <v>163</v>
      </c>
      <c r="C142" s="372" t="s">
        <v>128</v>
      </c>
      <c r="D142" s="372" t="s">
        <v>3</v>
      </c>
      <c r="E142" s="419">
        <v>85000000</v>
      </c>
      <c r="F142" s="358" t="s">
        <v>195</v>
      </c>
      <c r="G142" s="438"/>
      <c r="I142" s="102"/>
      <c r="L142" s="439"/>
      <c r="N142" s="440"/>
    </row>
    <row r="143" spans="1:14" s="67" customFormat="1" x14ac:dyDescent="0.3">
      <c r="A143" s="7" t="s">
        <v>236</v>
      </c>
      <c r="B143" s="372" t="s">
        <v>239</v>
      </c>
      <c r="C143" s="372" t="s">
        <v>128</v>
      </c>
      <c r="D143" s="372" t="s">
        <v>3</v>
      </c>
      <c r="E143" s="419">
        <v>41000000</v>
      </c>
      <c r="F143" s="358" t="s">
        <v>129</v>
      </c>
      <c r="G143" s="438"/>
      <c r="I143" s="102"/>
      <c r="L143" s="439"/>
      <c r="N143" s="440"/>
    </row>
    <row r="144" spans="1:14" s="67" customFormat="1" x14ac:dyDescent="0.3">
      <c r="A144" s="7" t="s">
        <v>252</v>
      </c>
      <c r="B144" s="372" t="s">
        <v>253</v>
      </c>
      <c r="C144" s="372" t="s">
        <v>128</v>
      </c>
      <c r="D144" s="372" t="s">
        <v>3</v>
      </c>
      <c r="E144" s="419">
        <v>10000000</v>
      </c>
      <c r="F144" s="358" t="s">
        <v>254</v>
      </c>
      <c r="G144" s="438"/>
      <c r="I144" s="102"/>
      <c r="L144" s="439"/>
      <c r="N144" s="440"/>
    </row>
    <row r="145" spans="1:14" s="67" customFormat="1" x14ac:dyDescent="0.3">
      <c r="A145" s="7" t="s">
        <v>255</v>
      </c>
      <c r="B145" s="372" t="s">
        <v>256</v>
      </c>
      <c r="C145" s="372" t="s">
        <v>128</v>
      </c>
      <c r="D145" s="372" t="s">
        <v>3</v>
      </c>
      <c r="E145" s="419">
        <v>51000000</v>
      </c>
      <c r="F145" s="358" t="s">
        <v>129</v>
      </c>
      <c r="G145" s="438"/>
      <c r="I145" s="102"/>
      <c r="L145" s="439"/>
      <c r="N145" s="440"/>
    </row>
    <row r="146" spans="1:14" s="67" customFormat="1" x14ac:dyDescent="0.3">
      <c r="A146" s="7" t="s">
        <v>238</v>
      </c>
      <c r="B146" s="372" t="s">
        <v>241</v>
      </c>
      <c r="C146" s="372" t="s">
        <v>128</v>
      </c>
      <c r="D146" s="372" t="s">
        <v>3</v>
      </c>
      <c r="E146" s="419">
        <v>45000000</v>
      </c>
      <c r="F146" s="358" t="s">
        <v>129</v>
      </c>
      <c r="G146" s="438"/>
      <c r="I146" s="102"/>
      <c r="L146" s="439"/>
      <c r="N146" s="440"/>
    </row>
    <row r="147" spans="1:14" s="67" customFormat="1" x14ac:dyDescent="0.3">
      <c r="A147" s="7" t="s">
        <v>257</v>
      </c>
      <c r="B147" s="372" t="s">
        <v>258</v>
      </c>
      <c r="C147" s="372" t="s">
        <v>128</v>
      </c>
      <c r="D147" s="372" t="s">
        <v>3</v>
      </c>
      <c r="E147" s="419">
        <v>10000000</v>
      </c>
      <c r="F147" s="358" t="s">
        <v>129</v>
      </c>
      <c r="G147" s="438"/>
      <c r="I147" s="102"/>
      <c r="L147" s="439"/>
      <c r="N147" s="440"/>
    </row>
    <row r="148" spans="1:14" s="67" customFormat="1" x14ac:dyDescent="0.3">
      <c r="A148" s="7" t="s">
        <v>259</v>
      </c>
      <c r="B148" s="372" t="s">
        <v>260</v>
      </c>
      <c r="C148" s="372" t="s">
        <v>248</v>
      </c>
      <c r="D148" s="372" t="s">
        <v>3</v>
      </c>
      <c r="E148" s="419">
        <v>10000000</v>
      </c>
      <c r="F148" s="358" t="s">
        <v>261</v>
      </c>
      <c r="G148" s="438"/>
      <c r="I148" s="102"/>
      <c r="L148" s="439"/>
      <c r="N148" s="440"/>
    </row>
    <row r="149" spans="1:14" s="67" customFormat="1" ht="14" thickBot="1" x14ac:dyDescent="0.35">
      <c r="A149" s="3" t="s">
        <v>246</v>
      </c>
      <c r="B149" s="431" t="s">
        <v>247</v>
      </c>
      <c r="C149" s="431" t="s">
        <v>248</v>
      </c>
      <c r="D149" s="432" t="s">
        <v>3</v>
      </c>
      <c r="E149" s="433">
        <v>10000000</v>
      </c>
      <c r="F149" s="359" t="s">
        <v>249</v>
      </c>
      <c r="G149" s="438"/>
      <c r="I149" s="102"/>
      <c r="L149" s="439"/>
      <c r="N149" s="440"/>
    </row>
    <row r="150" spans="1:14" ht="14" thickTop="1" x14ac:dyDescent="0.3">
      <c r="A150" s="5" t="s">
        <v>1</v>
      </c>
      <c r="B150" s="434"/>
      <c r="C150" s="434"/>
      <c r="D150" s="434"/>
      <c r="E150" s="423">
        <f>SUM(E139:E149)</f>
        <v>723320000</v>
      </c>
      <c r="F150" s="189"/>
      <c r="G150" s="55"/>
      <c r="H150" s="67"/>
      <c r="I150" s="102"/>
      <c r="J150" s="67"/>
      <c r="K150" s="67"/>
      <c r="L150" s="67"/>
      <c r="M150" s="67"/>
      <c r="N150" s="67"/>
    </row>
    <row r="151" spans="1:14" x14ac:dyDescent="0.3">
      <c r="A151" s="26"/>
      <c r="B151" s="67"/>
      <c r="C151" s="420"/>
      <c r="D151" s="102"/>
      <c r="E151" s="102"/>
      <c r="F151" s="105"/>
      <c r="G151" s="67"/>
      <c r="H151" s="67"/>
      <c r="I151" s="102"/>
      <c r="J151" s="67"/>
      <c r="K151" s="67"/>
      <c r="L151" s="67"/>
      <c r="M151" s="67"/>
      <c r="N151" s="67"/>
    </row>
    <row r="152" spans="1:14" x14ac:dyDescent="0.3">
      <c r="A152" s="67"/>
      <c r="B152" s="67"/>
      <c r="C152" s="67"/>
      <c r="D152" s="67"/>
      <c r="E152" s="67"/>
      <c r="F152" s="67"/>
      <c r="G152" s="67"/>
      <c r="H152" s="67"/>
      <c r="I152" s="67"/>
      <c r="J152" s="67"/>
      <c r="K152" s="67"/>
    </row>
    <row r="153" spans="1:14" x14ac:dyDescent="0.3">
      <c r="A153" s="187" t="s">
        <v>232</v>
      </c>
      <c r="B153" s="187"/>
      <c r="C153" s="187"/>
      <c r="D153" s="187"/>
      <c r="E153" s="187"/>
    </row>
    <row r="173" spans="1:1" x14ac:dyDescent="0.3">
      <c r="A173" s="152" t="s">
        <v>117</v>
      </c>
    </row>
  </sheetData>
  <pageMargins left="0.70866141732283472" right="0.70866141732283472" top="0.78740157480314965" bottom="0.78740157480314965" header="0.31496062992125984" footer="0.31496062992125984"/>
  <pageSetup paperSize="9" scale="38" fitToHeight="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71"/>
  <sheetViews>
    <sheetView topLeftCell="A33" workbookViewId="0">
      <selection activeCell="B17" sqref="B17"/>
    </sheetView>
  </sheetViews>
  <sheetFormatPr baseColWidth="10" defaultColWidth="11.453125" defaultRowHeight="13.5" x14ac:dyDescent="0.3"/>
  <cols>
    <col min="1" max="1" width="54" style="53" customWidth="1"/>
    <col min="2" max="3" width="23" style="53" customWidth="1"/>
    <col min="4" max="4" width="24.26953125" style="53" customWidth="1"/>
    <col min="5" max="5" width="25.1796875" style="53" customWidth="1"/>
    <col min="6" max="6" width="24.1796875" style="53" customWidth="1"/>
    <col min="7" max="11" width="22.26953125" style="53" customWidth="1"/>
    <col min="12" max="12" width="23.54296875" style="53" customWidth="1"/>
    <col min="13" max="13" width="24.81640625" style="53" customWidth="1"/>
    <col min="14" max="14" width="17.26953125" style="53" customWidth="1"/>
    <col min="15" max="16384" width="11.453125" style="53"/>
  </cols>
  <sheetData>
    <row r="1" spans="1:13" ht="15" x14ac:dyDescent="0.3">
      <c r="A1" s="273" t="s">
        <v>85</v>
      </c>
      <c r="B1" s="270"/>
      <c r="C1" s="270"/>
      <c r="D1" s="347"/>
      <c r="E1" s="270"/>
      <c r="F1" s="67"/>
      <c r="G1" s="67"/>
      <c r="H1" s="67"/>
      <c r="I1" s="67"/>
      <c r="J1" s="67"/>
      <c r="K1" s="67"/>
      <c r="L1" s="67"/>
      <c r="M1" s="67"/>
    </row>
    <row r="2" spans="1:13" x14ac:dyDescent="0.3">
      <c r="A2" s="270" t="s">
        <v>0</v>
      </c>
      <c r="B2" s="360">
        <v>42735</v>
      </c>
      <c r="D2" s="54"/>
      <c r="E2" s="270"/>
      <c r="F2" s="67"/>
      <c r="G2" s="67"/>
      <c r="H2" s="67"/>
      <c r="I2" s="67"/>
      <c r="J2" s="67"/>
      <c r="K2" s="67"/>
      <c r="L2" s="67"/>
      <c r="M2" s="67"/>
    </row>
    <row r="3" spans="1:13" x14ac:dyDescent="0.3">
      <c r="A3" s="270" t="s">
        <v>2</v>
      </c>
      <c r="B3" s="361" t="s">
        <v>3</v>
      </c>
      <c r="D3" s="54"/>
      <c r="E3" s="270"/>
      <c r="F3" s="67"/>
      <c r="G3" s="55"/>
      <c r="H3" s="55"/>
      <c r="I3" s="67"/>
      <c r="J3" s="67"/>
      <c r="K3" s="67"/>
      <c r="L3" s="67"/>
      <c r="M3" s="67"/>
    </row>
    <row r="4" spans="1:13" x14ac:dyDescent="0.3">
      <c r="A4" s="270"/>
      <c r="B4" s="270"/>
      <c r="C4" s="270"/>
      <c r="D4" s="347"/>
      <c r="E4" s="270"/>
      <c r="F4" s="67"/>
      <c r="G4" s="55"/>
      <c r="H4" s="55"/>
      <c r="I4" s="67"/>
      <c r="J4" s="67"/>
      <c r="K4" s="67"/>
      <c r="L4" s="67"/>
      <c r="M4" s="67"/>
    </row>
    <row r="5" spans="1:13" x14ac:dyDescent="0.3">
      <c r="A5" s="258" t="s">
        <v>72</v>
      </c>
      <c r="B5" s="187"/>
      <c r="C5" s="257"/>
      <c r="D5" s="257"/>
      <c r="E5" s="257"/>
      <c r="F5" s="257"/>
      <c r="G5" s="55"/>
      <c r="H5" s="55"/>
      <c r="I5" s="362"/>
      <c r="J5" s="362"/>
      <c r="K5" s="67"/>
      <c r="L5" s="67"/>
      <c r="M5" s="67"/>
    </row>
    <row r="6" spans="1:13" ht="12.75" customHeight="1" x14ac:dyDescent="0.3">
      <c r="A6" s="256"/>
      <c r="B6" s="256" t="s">
        <v>1</v>
      </c>
      <c r="C6" s="259"/>
      <c r="D6" s="259"/>
      <c r="E6" s="255"/>
      <c r="F6" s="254"/>
      <c r="G6" s="254"/>
      <c r="H6" s="254"/>
      <c r="I6" s="362"/>
      <c r="J6" s="362"/>
      <c r="K6" s="67"/>
      <c r="L6" s="67"/>
      <c r="M6" s="67"/>
    </row>
    <row r="7" spans="1:13" x14ac:dyDescent="0.3">
      <c r="A7" s="265" t="s">
        <v>77</v>
      </c>
      <c r="B7" s="363">
        <v>6919847307.000001</v>
      </c>
      <c r="C7" s="263"/>
      <c r="D7" s="364"/>
      <c r="E7" s="267"/>
      <c r="F7" s="266"/>
      <c r="G7" s="55"/>
      <c r="H7" s="55"/>
      <c r="I7" s="67"/>
      <c r="J7" s="67"/>
      <c r="K7" s="67"/>
      <c r="L7" s="67"/>
      <c r="M7" s="67"/>
    </row>
    <row r="8" spans="1:13" x14ac:dyDescent="0.3">
      <c r="A8" s="265" t="s">
        <v>78</v>
      </c>
      <c r="B8" s="365">
        <f>+B7/B9</f>
        <v>1212519.2407569652</v>
      </c>
      <c r="C8" s="263"/>
      <c r="D8" s="366"/>
      <c r="E8" s="267"/>
      <c r="F8" s="266"/>
      <c r="G8" s="55"/>
      <c r="H8" s="55"/>
      <c r="I8" s="67"/>
      <c r="J8" s="67"/>
      <c r="K8" s="67"/>
      <c r="L8" s="67"/>
      <c r="M8" s="67"/>
    </row>
    <row r="9" spans="1:13" x14ac:dyDescent="0.3">
      <c r="A9" s="265" t="s">
        <v>73</v>
      </c>
      <c r="B9" s="365">
        <v>5707</v>
      </c>
      <c r="C9" s="263"/>
      <c r="D9" s="364"/>
      <c r="E9" s="267"/>
      <c r="F9" s="266"/>
      <c r="G9" s="55"/>
      <c r="H9" s="55"/>
      <c r="I9" s="67"/>
      <c r="J9" s="67"/>
      <c r="K9" s="67"/>
      <c r="L9" s="67"/>
      <c r="M9" s="67"/>
    </row>
    <row r="10" spans="1:13" ht="13.5" customHeight="1" x14ac:dyDescent="0.3">
      <c r="A10" s="265" t="s">
        <v>79</v>
      </c>
      <c r="B10" s="338">
        <v>9.9000000000000008E-3</v>
      </c>
      <c r="C10" s="263"/>
      <c r="D10" s="268"/>
      <c r="E10" s="267"/>
      <c r="F10" s="266"/>
      <c r="G10" s="55"/>
      <c r="H10" s="55"/>
      <c r="I10" s="67"/>
      <c r="J10" s="67"/>
      <c r="K10" s="67"/>
      <c r="L10" s="67"/>
      <c r="M10" s="67"/>
    </row>
    <row r="11" spans="1:13" x14ac:dyDescent="0.3">
      <c r="A11" s="265" t="s">
        <v>74</v>
      </c>
      <c r="B11" s="365">
        <v>42</v>
      </c>
      <c r="C11" s="348"/>
      <c r="D11" s="349"/>
      <c r="E11" s="350"/>
      <c r="F11" s="266"/>
      <c r="G11" s="55"/>
      <c r="H11" s="55"/>
      <c r="I11" s="67"/>
      <c r="J11" s="67"/>
      <c r="K11" s="67"/>
      <c r="L11" s="67"/>
      <c r="M11" s="67"/>
    </row>
    <row r="12" spans="1:13" x14ac:dyDescent="0.3">
      <c r="A12" s="265" t="s">
        <v>81</v>
      </c>
      <c r="B12" s="365">
        <v>165</v>
      </c>
      <c r="C12" s="348"/>
      <c r="D12" s="349"/>
      <c r="E12" s="350"/>
      <c r="F12" s="266"/>
      <c r="G12" s="55"/>
      <c r="H12" s="55"/>
      <c r="I12" s="67"/>
      <c r="J12" s="67"/>
      <c r="K12" s="67"/>
      <c r="L12" s="67"/>
      <c r="M12" s="67"/>
    </row>
    <row r="13" spans="1:13" x14ac:dyDescent="0.3">
      <c r="A13" s="265" t="s">
        <v>75</v>
      </c>
      <c r="B13" s="365">
        <v>5507</v>
      </c>
      <c r="C13" s="339"/>
      <c r="D13" s="268"/>
      <c r="E13" s="267"/>
      <c r="F13" s="266"/>
      <c r="G13" s="55"/>
      <c r="H13" s="55"/>
      <c r="I13" s="362"/>
      <c r="J13" s="362"/>
      <c r="K13" s="67"/>
      <c r="L13" s="67"/>
      <c r="M13" s="67"/>
    </row>
    <row r="14" spans="1:13" x14ac:dyDescent="0.3">
      <c r="A14" s="265" t="s">
        <v>196</v>
      </c>
      <c r="B14" s="338">
        <v>0.51900000000000002</v>
      </c>
      <c r="C14" s="339"/>
      <c r="D14" s="268"/>
      <c r="E14" s="267"/>
      <c r="F14" s="266"/>
      <c r="G14" s="55"/>
      <c r="H14" s="55"/>
      <c r="I14" s="362"/>
      <c r="J14" s="362"/>
      <c r="K14" s="67"/>
      <c r="L14" s="67"/>
      <c r="M14" s="67"/>
    </row>
    <row r="15" spans="1:13" x14ac:dyDescent="0.3">
      <c r="A15" s="265" t="s">
        <v>83</v>
      </c>
      <c r="B15" s="269">
        <v>1</v>
      </c>
      <c r="C15" s="339"/>
      <c r="D15" s="268"/>
      <c r="E15" s="267"/>
      <c r="F15" s="266"/>
      <c r="G15" s="55"/>
      <c r="H15" s="55"/>
      <c r="I15" s="362"/>
      <c r="J15" s="362"/>
      <c r="K15" s="67"/>
      <c r="L15" s="67"/>
      <c r="M15" s="67"/>
    </row>
    <row r="16" spans="1:13" x14ac:dyDescent="0.3">
      <c r="A16" s="265" t="s">
        <v>86</v>
      </c>
      <c r="B16" s="269">
        <v>1</v>
      </c>
      <c r="C16" s="339"/>
      <c r="D16" s="268"/>
      <c r="E16" s="267"/>
      <c r="F16" s="266"/>
      <c r="G16" s="55"/>
      <c r="H16" s="55"/>
      <c r="I16" s="362"/>
      <c r="J16" s="362"/>
      <c r="K16" s="67"/>
      <c r="L16" s="67"/>
      <c r="M16" s="67"/>
    </row>
    <row r="17" spans="1:13" x14ac:dyDescent="0.3">
      <c r="A17" s="265" t="s">
        <v>84</v>
      </c>
      <c r="B17" s="265">
        <v>1E-4</v>
      </c>
      <c r="C17" s="339"/>
      <c r="D17" s="268"/>
      <c r="E17" s="267"/>
      <c r="F17" s="351"/>
      <c r="G17" s="55"/>
      <c r="H17" s="55"/>
      <c r="I17" s="362"/>
      <c r="J17" s="362"/>
      <c r="K17" s="67"/>
      <c r="L17" s="67"/>
      <c r="M17" s="67"/>
    </row>
    <row r="18" spans="1:13" x14ac:dyDescent="0.3">
      <c r="A18" s="265" t="s">
        <v>49</v>
      </c>
      <c r="B18" s="367">
        <v>496560000</v>
      </c>
      <c r="C18" s="339"/>
      <c r="D18" s="339"/>
      <c r="E18" s="332"/>
      <c r="F18" s="353"/>
      <c r="G18" s="306"/>
      <c r="H18" s="368"/>
      <c r="I18" s="368"/>
      <c r="J18" s="189"/>
      <c r="K18" s="67"/>
      <c r="L18" s="67"/>
      <c r="M18" s="67"/>
    </row>
    <row r="19" spans="1:13" x14ac:dyDescent="0.3">
      <c r="A19" s="262" t="s">
        <v>80</v>
      </c>
      <c r="B19" s="369">
        <f>+B7+B18</f>
        <v>7416407307.000001</v>
      </c>
      <c r="C19" s="343"/>
      <c r="D19" s="340" t="s">
        <v>234</v>
      </c>
      <c r="E19" s="318" t="s">
        <v>235</v>
      </c>
      <c r="F19" s="353"/>
      <c r="G19" s="307"/>
      <c r="H19" s="368"/>
      <c r="I19" s="368"/>
      <c r="J19" s="189"/>
      <c r="K19" s="67"/>
      <c r="L19" s="67"/>
      <c r="M19" s="67"/>
    </row>
    <row r="20" spans="1:13" x14ac:dyDescent="0.3">
      <c r="A20" s="341" t="s">
        <v>197</v>
      </c>
      <c r="B20" s="342">
        <f>($B$19-D20)/E20-1</f>
        <v>0.17360401672798176</v>
      </c>
      <c r="C20" s="343"/>
      <c r="D20" s="370">
        <v>33245660.100000001</v>
      </c>
      <c r="E20" s="318">
        <v>6291016000</v>
      </c>
      <c r="F20" s="353"/>
      <c r="G20" s="307"/>
      <c r="H20" s="368"/>
      <c r="I20" s="368"/>
      <c r="J20" s="189"/>
      <c r="K20" s="67"/>
      <c r="L20" s="67"/>
      <c r="M20" s="67"/>
    </row>
    <row r="21" spans="1:13" x14ac:dyDescent="0.3">
      <c r="A21" s="341" t="s">
        <v>198</v>
      </c>
      <c r="B21" s="342">
        <f>($B$19-D21)/E20-1</f>
        <v>0.12980300081894569</v>
      </c>
      <c r="C21" s="343"/>
      <c r="D21" s="318">
        <v>308798552</v>
      </c>
      <c r="E21" s="318"/>
      <c r="F21" s="353"/>
      <c r="G21" s="307"/>
      <c r="H21" s="368"/>
      <c r="I21" s="368"/>
      <c r="J21" s="189"/>
      <c r="K21" s="67"/>
      <c r="L21" s="67"/>
      <c r="M21" s="67"/>
    </row>
    <row r="22" spans="1:13" x14ac:dyDescent="0.3">
      <c r="A22" s="341" t="s">
        <v>233</v>
      </c>
      <c r="B22" s="342">
        <f>($B$19-D22)/E20-1</f>
        <v>6.8056127499914298E-2</v>
      </c>
      <c r="C22" s="343"/>
      <c r="D22" s="318">
        <v>697249120</v>
      </c>
      <c r="E22" s="318"/>
      <c r="F22" s="353"/>
      <c r="G22" s="307"/>
      <c r="H22" s="368"/>
      <c r="I22" s="368"/>
      <c r="J22" s="189"/>
      <c r="K22" s="67"/>
      <c r="L22" s="67"/>
      <c r="M22" s="67"/>
    </row>
    <row r="23" spans="1:13" s="54" customFormat="1" x14ac:dyDescent="0.3">
      <c r="A23" s="259"/>
      <c r="B23" s="371"/>
      <c r="C23" s="340"/>
      <c r="D23" s="340"/>
      <c r="E23" s="318"/>
      <c r="F23" s="353"/>
      <c r="G23" s="306"/>
      <c r="H23" s="368"/>
      <c r="I23" s="368"/>
      <c r="J23" s="189"/>
      <c r="K23" s="55"/>
      <c r="L23" s="55"/>
      <c r="M23" s="55"/>
    </row>
    <row r="24" spans="1:13" x14ac:dyDescent="0.3">
      <c r="D24" s="337"/>
      <c r="E24" s="354"/>
      <c r="F24" s="321"/>
      <c r="G24" s="67"/>
      <c r="H24" s="368"/>
      <c r="I24" s="368"/>
      <c r="J24" s="189"/>
      <c r="K24" s="67"/>
      <c r="L24" s="67"/>
      <c r="M24" s="67"/>
    </row>
    <row r="25" spans="1:13" x14ac:dyDescent="0.3">
      <c r="A25" s="258" t="s">
        <v>71</v>
      </c>
      <c r="B25" s="187"/>
      <c r="C25" s="258"/>
      <c r="D25" s="187"/>
      <c r="E25" s="257"/>
      <c r="F25" s="186"/>
      <c r="G25" s="67"/>
      <c r="H25" s="368"/>
      <c r="I25" s="368"/>
      <c r="J25" s="189"/>
      <c r="K25" s="67"/>
      <c r="L25" s="67"/>
      <c r="M25" s="67"/>
    </row>
    <row r="26" spans="1:13" x14ac:dyDescent="0.3">
      <c r="A26" s="256"/>
      <c r="B26" s="256"/>
      <c r="C26" s="256"/>
      <c r="D26" s="256"/>
      <c r="E26" s="255"/>
      <c r="F26" s="186"/>
      <c r="G26" s="67"/>
      <c r="H26" s="368"/>
      <c r="I26" s="368"/>
      <c r="J26" s="189"/>
      <c r="K26" s="67"/>
      <c r="L26" s="67"/>
      <c r="M26" s="67"/>
    </row>
    <row r="27" spans="1:13" x14ac:dyDescent="0.3">
      <c r="A27" s="9" t="s">
        <v>16</v>
      </c>
      <c r="B27" s="10" t="s">
        <v>4</v>
      </c>
      <c r="C27" s="10" t="s">
        <v>5</v>
      </c>
      <c r="D27" s="63" t="s">
        <v>17</v>
      </c>
      <c r="E27" s="54"/>
      <c r="F27" s="186"/>
      <c r="G27" s="186"/>
      <c r="H27" s="368"/>
      <c r="I27" s="368"/>
      <c r="J27" s="189"/>
      <c r="K27" s="67"/>
      <c r="L27" s="67"/>
      <c r="M27" s="67"/>
    </row>
    <row r="28" spans="1:13" ht="14.5" x14ac:dyDescent="0.35">
      <c r="A28" s="6" t="s">
        <v>6</v>
      </c>
      <c r="B28" s="372">
        <v>1773999380.9200003</v>
      </c>
      <c r="C28" s="373">
        <v>2521</v>
      </c>
      <c r="D28" s="196">
        <f t="shared" ref="D28:D37" si="0">B28/$B$40</f>
        <v>0.25636394882954316</v>
      </c>
      <c r="E28" s="355"/>
      <c r="F28" s="186"/>
      <c r="G28" s="186"/>
      <c r="H28" s="368"/>
      <c r="I28" s="374"/>
      <c r="J28" s="189"/>
      <c r="K28" s="67"/>
      <c r="L28" s="67"/>
      <c r="M28" s="67"/>
    </row>
    <row r="29" spans="1:13" ht="14.5" x14ac:dyDescent="0.35">
      <c r="A29" s="6" t="s">
        <v>7</v>
      </c>
      <c r="B29" s="372">
        <v>1078407416.28</v>
      </c>
      <c r="C29" s="373">
        <v>795</v>
      </c>
      <c r="D29" s="196">
        <f t="shared" si="0"/>
        <v>0.15584266074615566</v>
      </c>
      <c r="E29" s="355"/>
      <c r="F29" s="257"/>
      <c r="G29" s="257"/>
      <c r="H29" s="257"/>
      <c r="I29" s="257"/>
      <c r="J29" s="189"/>
      <c r="K29" s="67"/>
      <c r="L29" s="67"/>
      <c r="M29" s="67"/>
    </row>
    <row r="30" spans="1:13" ht="14.5" x14ac:dyDescent="0.35">
      <c r="A30" s="6" t="s">
        <v>8</v>
      </c>
      <c r="B30" s="372">
        <v>1439489320.8399999</v>
      </c>
      <c r="C30" s="373">
        <v>919</v>
      </c>
      <c r="D30" s="196">
        <f t="shared" si="0"/>
        <v>0.20802327811248619</v>
      </c>
      <c r="E30" s="355"/>
      <c r="F30" s="259"/>
      <c r="G30" s="259"/>
      <c r="H30" s="259"/>
      <c r="I30" s="259"/>
      <c r="J30" s="189"/>
      <c r="K30" s="67"/>
      <c r="L30" s="67"/>
      <c r="M30" s="67"/>
    </row>
    <row r="31" spans="1:13" ht="14.5" x14ac:dyDescent="0.35">
      <c r="A31" s="6" t="s">
        <v>9</v>
      </c>
      <c r="B31" s="372">
        <v>1583781196.1800003</v>
      </c>
      <c r="C31" s="373">
        <v>944</v>
      </c>
      <c r="D31" s="196">
        <f t="shared" si="0"/>
        <v>0.22887516529127369</v>
      </c>
      <c r="E31" s="355"/>
      <c r="F31" s="316"/>
      <c r="G31" s="317"/>
      <c r="H31" s="317"/>
      <c r="I31" s="176"/>
      <c r="J31" s="189"/>
      <c r="K31" s="67"/>
      <c r="L31" s="67"/>
      <c r="M31" s="67"/>
    </row>
    <row r="32" spans="1:13" ht="14.5" x14ac:dyDescent="0.35">
      <c r="A32" s="6" t="s">
        <v>140</v>
      </c>
      <c r="B32" s="372">
        <v>727998405.81999993</v>
      </c>
      <c r="C32" s="373">
        <v>379</v>
      </c>
      <c r="D32" s="196">
        <f t="shared" si="0"/>
        <v>0.10520440314970086</v>
      </c>
      <c r="E32" s="355"/>
      <c r="F32" s="304"/>
      <c r="G32" s="368"/>
      <c r="H32" s="368"/>
      <c r="I32" s="263"/>
      <c r="J32" s="189"/>
      <c r="K32" s="67"/>
      <c r="L32" s="67"/>
      <c r="M32" s="67"/>
    </row>
    <row r="33" spans="1:15" ht="14.5" x14ac:dyDescent="0.35">
      <c r="A33" s="6" t="s">
        <v>141</v>
      </c>
      <c r="B33" s="372">
        <v>233876976</v>
      </c>
      <c r="C33" s="373">
        <v>113</v>
      </c>
      <c r="D33" s="196">
        <f t="shared" si="0"/>
        <v>3.3797996635476911E-2</v>
      </c>
      <c r="E33" s="355"/>
      <c r="F33" s="304"/>
      <c r="G33" s="368"/>
      <c r="H33" s="368"/>
      <c r="I33" s="263"/>
      <c r="J33" s="345"/>
      <c r="K33" s="67"/>
      <c r="L33" s="67"/>
      <c r="M33" s="67"/>
    </row>
    <row r="34" spans="1:15" ht="14.5" x14ac:dyDescent="0.35">
      <c r="A34" s="6" t="s">
        <v>10</v>
      </c>
      <c r="B34" s="372">
        <v>26152669.100000001</v>
      </c>
      <c r="C34" s="373">
        <v>10</v>
      </c>
      <c r="D34" s="196">
        <f t="shared" si="0"/>
        <v>3.7793708357617083E-3</v>
      </c>
      <c r="E34" s="355"/>
      <c r="F34" s="304"/>
      <c r="G34" s="368"/>
      <c r="H34" s="368"/>
      <c r="I34" s="263"/>
      <c r="J34" s="362"/>
      <c r="K34" s="67"/>
      <c r="L34" s="67"/>
      <c r="M34" s="67"/>
    </row>
    <row r="35" spans="1:15" ht="14.5" x14ac:dyDescent="0.35">
      <c r="A35" s="6" t="s">
        <v>11</v>
      </c>
      <c r="B35" s="375">
        <v>9529974.1799999997</v>
      </c>
      <c r="C35" s="376">
        <v>5</v>
      </c>
      <c r="D35" s="196">
        <f t="shared" si="0"/>
        <v>1.3771942872727318E-3</v>
      </c>
      <c r="E35" s="355"/>
      <c r="F35" s="304"/>
      <c r="G35" s="368"/>
      <c r="H35" s="368"/>
      <c r="I35" s="263"/>
      <c r="J35" s="67"/>
      <c r="K35" s="67"/>
      <c r="L35" s="67"/>
      <c r="M35" s="67"/>
    </row>
    <row r="36" spans="1:15" ht="14.5" x14ac:dyDescent="0.35">
      <c r="A36" s="6" t="s">
        <v>12</v>
      </c>
      <c r="B36" s="377">
        <v>4624928</v>
      </c>
      <c r="C36" s="378">
        <v>4</v>
      </c>
      <c r="D36" s="196">
        <f t="shared" si="0"/>
        <v>6.6835694413683094E-4</v>
      </c>
      <c r="E36" s="355"/>
      <c r="F36" s="304"/>
      <c r="G36" s="368"/>
      <c r="H36" s="368"/>
      <c r="I36" s="263"/>
      <c r="J36" s="67"/>
      <c r="K36" s="67"/>
      <c r="L36" s="67"/>
      <c r="M36" s="67"/>
    </row>
    <row r="37" spans="1:15" ht="14.5" x14ac:dyDescent="0.35">
      <c r="A37" s="6" t="s">
        <v>13</v>
      </c>
      <c r="B37" s="377">
        <v>0</v>
      </c>
      <c r="C37" s="378">
        <v>0</v>
      </c>
      <c r="D37" s="196">
        <f t="shared" si="0"/>
        <v>0</v>
      </c>
      <c r="E37" s="355"/>
      <c r="F37" s="304"/>
      <c r="G37" s="368"/>
      <c r="H37" s="368"/>
      <c r="I37" s="263"/>
      <c r="J37" s="67"/>
      <c r="K37" s="67"/>
      <c r="L37" s="67"/>
      <c r="M37" s="67"/>
    </row>
    <row r="38" spans="1:15" ht="14.5" x14ac:dyDescent="0.35">
      <c r="A38" s="6" t="s">
        <v>14</v>
      </c>
      <c r="B38" s="377">
        <v>4415038.51</v>
      </c>
      <c r="C38" s="378">
        <v>2</v>
      </c>
      <c r="D38" s="196">
        <f>B38/$B$40</f>
        <v>6.3802542370173707E-4</v>
      </c>
      <c r="E38" s="355"/>
      <c r="F38" s="304"/>
      <c r="G38" s="368"/>
      <c r="H38" s="368"/>
      <c r="I38" s="263"/>
      <c r="J38" s="67"/>
      <c r="K38" s="67"/>
      <c r="L38" s="67"/>
      <c r="M38" s="67"/>
      <c r="O38" s="54"/>
    </row>
    <row r="39" spans="1:15" ht="15" thickBot="1" x14ac:dyDescent="0.4">
      <c r="A39" s="4" t="s">
        <v>15</v>
      </c>
      <c r="B39" s="379">
        <v>37572001.170000002</v>
      </c>
      <c r="C39" s="380">
        <v>15</v>
      </c>
      <c r="D39" s="192">
        <f>B39/$B$40</f>
        <v>5.4295997444904313E-3</v>
      </c>
      <c r="E39" s="355"/>
      <c r="F39" s="304"/>
      <c r="G39" s="374"/>
      <c r="H39" s="374"/>
      <c r="I39" s="263"/>
      <c r="J39" s="67"/>
      <c r="K39" s="67"/>
      <c r="L39" s="67"/>
      <c r="M39" s="67"/>
      <c r="O39" s="54"/>
    </row>
    <row r="40" spans="1:15" ht="15" thickTop="1" x14ac:dyDescent="0.35">
      <c r="A40" s="1" t="s">
        <v>1</v>
      </c>
      <c r="B40" s="18">
        <f>SUM(B28:B39)</f>
        <v>6919847307.000001</v>
      </c>
      <c r="C40" s="381">
        <f>SUM(C28:C39)</f>
        <v>5707</v>
      </c>
      <c r="D40" s="344">
        <f>SUM(D28:D39)</f>
        <v>1</v>
      </c>
      <c r="E40" s="355"/>
      <c r="F40" s="304"/>
      <c r="G40" s="382"/>
      <c r="H40" s="382"/>
      <c r="I40" s="263"/>
      <c r="O40" s="54"/>
    </row>
    <row r="41" spans="1:15" x14ac:dyDescent="0.3">
      <c r="E41" s="54"/>
      <c r="F41" s="304"/>
      <c r="G41" s="382"/>
      <c r="H41" s="382"/>
      <c r="I41" s="263"/>
      <c r="O41" s="54"/>
    </row>
    <row r="42" spans="1:15" x14ac:dyDescent="0.3">
      <c r="E42" s="54"/>
      <c r="F42" s="304"/>
      <c r="G42" s="382"/>
      <c r="H42" s="382"/>
      <c r="I42" s="263"/>
      <c r="O42" s="54"/>
    </row>
    <row r="43" spans="1:15" x14ac:dyDescent="0.3">
      <c r="A43" s="258" t="s">
        <v>218</v>
      </c>
      <c r="B43" s="187"/>
      <c r="C43" s="258"/>
      <c r="D43" s="187"/>
      <c r="E43" s="54"/>
      <c r="F43" s="304"/>
      <c r="G43" s="382"/>
      <c r="H43" s="382"/>
      <c r="I43" s="263"/>
      <c r="O43" s="54"/>
    </row>
    <row r="44" spans="1:15" x14ac:dyDescent="0.3">
      <c r="A44" s="256"/>
      <c r="B44" s="256"/>
      <c r="C44" s="256"/>
      <c r="D44" s="256"/>
      <c r="E44" s="54"/>
      <c r="F44" s="304"/>
      <c r="G44" s="301"/>
      <c r="H44" s="383"/>
      <c r="I44" s="345"/>
      <c r="O44" s="54"/>
    </row>
    <row r="45" spans="1:15" x14ac:dyDescent="0.3">
      <c r="A45" s="9" t="s">
        <v>219</v>
      </c>
      <c r="B45" s="10" t="s">
        <v>4</v>
      </c>
      <c r="C45" s="10" t="s">
        <v>5</v>
      </c>
      <c r="D45" s="63" t="s">
        <v>17</v>
      </c>
      <c r="E45" s="54"/>
      <c r="O45" s="54"/>
    </row>
    <row r="46" spans="1:15" x14ac:dyDescent="0.3">
      <c r="A46" s="6" t="s">
        <v>220</v>
      </c>
      <c r="B46" s="372">
        <v>211788422.83000004</v>
      </c>
      <c r="C46" s="373">
        <v>1649</v>
      </c>
      <c r="D46" s="196">
        <f>B46/$B$40</f>
        <v>3.0605938748931416E-2</v>
      </c>
      <c r="E46" s="384"/>
      <c r="O46" s="54"/>
    </row>
    <row r="47" spans="1:15" x14ac:dyDescent="0.3">
      <c r="A47" s="6" t="s">
        <v>221</v>
      </c>
      <c r="B47" s="372">
        <v>777376443.91999948</v>
      </c>
      <c r="C47" s="373">
        <v>1025</v>
      </c>
      <c r="D47" s="196">
        <f t="shared" ref="D47:D49" si="1">B47/$B$40</f>
        <v>0.11234011524121618</v>
      </c>
      <c r="E47" s="384"/>
      <c r="O47" s="54"/>
    </row>
    <row r="48" spans="1:15" x14ac:dyDescent="0.3">
      <c r="A48" s="6" t="s">
        <v>222</v>
      </c>
      <c r="B48" s="372">
        <v>2775592628.8199987</v>
      </c>
      <c r="C48" s="373">
        <v>1875</v>
      </c>
      <c r="D48" s="196">
        <f t="shared" si="1"/>
        <v>0.40110605128703575</v>
      </c>
      <c r="E48" s="384"/>
      <c r="O48" s="54"/>
    </row>
    <row r="49" spans="1:15" x14ac:dyDescent="0.3">
      <c r="A49" s="6" t="s">
        <v>223</v>
      </c>
      <c r="B49" s="372">
        <v>2052393033.7100005</v>
      </c>
      <c r="C49" s="373">
        <v>861</v>
      </c>
      <c r="D49" s="196">
        <f t="shared" si="1"/>
        <v>0.29659513319518399</v>
      </c>
      <c r="E49" s="384"/>
      <c r="O49" s="54"/>
    </row>
    <row r="50" spans="1:15" ht="14" thickBot="1" x14ac:dyDescent="0.35">
      <c r="A50" s="4" t="s">
        <v>224</v>
      </c>
      <c r="B50" s="379">
        <v>1102696777.7200003</v>
      </c>
      <c r="C50" s="380">
        <v>297</v>
      </c>
      <c r="D50" s="192">
        <f>B50/$B$40</f>
        <v>0.15935276152763236</v>
      </c>
      <c r="E50" s="384"/>
      <c r="O50" s="54"/>
    </row>
    <row r="51" spans="1:15" ht="14" thickTop="1" x14ac:dyDescent="0.3">
      <c r="A51" s="1" t="s">
        <v>1</v>
      </c>
      <c r="B51" s="18">
        <f>SUM(B46:B50)</f>
        <v>6919847306.999999</v>
      </c>
      <c r="C51" s="381">
        <f>SUM(C46:C50)</f>
        <v>5707</v>
      </c>
      <c r="D51" s="344">
        <f>SUM(D46:D50)</f>
        <v>0.99999999999999967</v>
      </c>
      <c r="E51" s="54"/>
      <c r="O51" s="54"/>
    </row>
    <row r="52" spans="1:15" x14ac:dyDescent="0.3">
      <c r="E52" s="54"/>
      <c r="O52" s="54"/>
    </row>
    <row r="53" spans="1:15" x14ac:dyDescent="0.3">
      <c r="O53" s="54"/>
    </row>
    <row r="54" spans="1:15" x14ac:dyDescent="0.3">
      <c r="A54" s="187" t="s">
        <v>225</v>
      </c>
      <c r="B54" s="187"/>
      <c r="C54" s="187"/>
      <c r="D54" s="346"/>
      <c r="E54" s="346"/>
      <c r="F54" s="346"/>
      <c r="G54" s="346"/>
      <c r="H54" s="346"/>
      <c r="I54" s="346"/>
      <c r="J54" s="346"/>
      <c r="K54" s="187"/>
      <c r="L54" s="187"/>
      <c r="M54" s="187"/>
      <c r="N54" s="187"/>
      <c r="O54" s="54"/>
    </row>
    <row r="55" spans="1:15" s="68" customFormat="1" x14ac:dyDescent="0.3">
      <c r="A55" s="107"/>
      <c r="B55" s="155" t="s">
        <v>1</v>
      </c>
      <c r="C55" s="281" t="s">
        <v>18</v>
      </c>
      <c r="D55" s="281" t="s">
        <v>19</v>
      </c>
      <c r="E55" s="281" t="s">
        <v>20</v>
      </c>
      <c r="F55" s="281" t="s">
        <v>21</v>
      </c>
      <c r="G55" s="281" t="s">
        <v>138</v>
      </c>
      <c r="H55" s="281" t="s">
        <v>139</v>
      </c>
      <c r="I55" s="281" t="s">
        <v>22</v>
      </c>
      <c r="J55" s="281" t="s">
        <v>23</v>
      </c>
      <c r="K55" s="313" t="s">
        <v>24</v>
      </c>
      <c r="L55" s="281" t="s">
        <v>25</v>
      </c>
      <c r="M55" s="313" t="s">
        <v>26</v>
      </c>
      <c r="N55" s="281" t="s">
        <v>27</v>
      </c>
      <c r="O55" s="385"/>
    </row>
    <row r="56" spans="1:15" ht="14.5" x14ac:dyDescent="0.35">
      <c r="A56" s="153" t="s">
        <v>28</v>
      </c>
      <c r="B56" s="386">
        <f t="shared" ref="B56:B75" si="2">SUM(C56:N56)</f>
        <v>215248080.28999999</v>
      </c>
      <c r="C56" s="387">
        <v>84279281.00999999</v>
      </c>
      <c r="D56" s="387">
        <v>39180225.629999995</v>
      </c>
      <c r="E56" s="387">
        <v>47603536.300000004</v>
      </c>
      <c r="F56" s="387">
        <v>40775138.350000001</v>
      </c>
      <c r="G56" s="387">
        <v>3409899</v>
      </c>
      <c r="H56" s="387">
        <v>0</v>
      </c>
      <c r="I56" s="387">
        <v>0</v>
      </c>
      <c r="J56" s="387">
        <v>0</v>
      </c>
      <c r="K56" s="387">
        <v>0</v>
      </c>
      <c r="L56" s="387">
        <v>0</v>
      </c>
      <c r="M56" s="387">
        <v>0</v>
      </c>
      <c r="N56" s="387">
        <v>0</v>
      </c>
      <c r="O56" s="54"/>
    </row>
    <row r="57" spans="1:15" ht="14.5" x14ac:dyDescent="0.35">
      <c r="A57" s="154" t="s">
        <v>29</v>
      </c>
      <c r="B57" s="388">
        <f>SUM(C57:N57)</f>
        <v>398664027.32999998</v>
      </c>
      <c r="C57" s="387">
        <v>68157691.830000013</v>
      </c>
      <c r="D57" s="387">
        <v>86372748.810000002</v>
      </c>
      <c r="E57" s="387">
        <v>100369086.48</v>
      </c>
      <c r="F57" s="387">
        <v>109006484.31999999</v>
      </c>
      <c r="G57" s="387">
        <v>34758015.890000001</v>
      </c>
      <c r="H57" s="387">
        <v>0</v>
      </c>
      <c r="I57" s="387">
        <v>0</v>
      </c>
      <c r="J57" s="387">
        <v>0</v>
      </c>
      <c r="K57" s="387">
        <v>0</v>
      </c>
      <c r="L57" s="387">
        <v>0</v>
      </c>
      <c r="M57" s="387">
        <v>0</v>
      </c>
      <c r="N57" s="387">
        <v>0</v>
      </c>
      <c r="O57" s="54"/>
    </row>
    <row r="58" spans="1:15" ht="14.5" x14ac:dyDescent="0.35">
      <c r="A58" s="154" t="s">
        <v>30</v>
      </c>
      <c r="B58" s="388">
        <f t="shared" si="2"/>
        <v>47376859.079999998</v>
      </c>
      <c r="C58" s="387">
        <v>10619026.08</v>
      </c>
      <c r="D58" s="387">
        <v>12175993.709999999</v>
      </c>
      <c r="E58" s="387">
        <v>21740942.289999999</v>
      </c>
      <c r="F58" s="387">
        <v>0</v>
      </c>
      <c r="G58" s="387">
        <v>2840897</v>
      </c>
      <c r="H58" s="387">
        <v>0</v>
      </c>
      <c r="I58" s="387">
        <v>0</v>
      </c>
      <c r="J58" s="387">
        <v>0</v>
      </c>
      <c r="K58" s="387">
        <v>0</v>
      </c>
      <c r="L58" s="387">
        <v>0</v>
      </c>
      <c r="M58" s="387">
        <v>0</v>
      </c>
      <c r="N58" s="387">
        <v>0</v>
      </c>
      <c r="O58" s="54"/>
    </row>
    <row r="59" spans="1:15" ht="14.5" x14ac:dyDescent="0.35">
      <c r="A59" s="154" t="s">
        <v>142</v>
      </c>
      <c r="B59" s="388">
        <f t="shared" si="2"/>
        <v>4628408.74</v>
      </c>
      <c r="C59" s="387">
        <v>0</v>
      </c>
      <c r="D59" s="387">
        <v>0</v>
      </c>
      <c r="E59" s="387">
        <v>0</v>
      </c>
      <c r="F59" s="387">
        <v>0</v>
      </c>
      <c r="G59" s="387">
        <v>4628408.74</v>
      </c>
      <c r="H59" s="387">
        <v>0</v>
      </c>
      <c r="I59" s="387">
        <v>0</v>
      </c>
      <c r="J59" s="387">
        <v>0</v>
      </c>
      <c r="K59" s="387">
        <v>0</v>
      </c>
      <c r="L59" s="387">
        <v>0</v>
      </c>
      <c r="M59" s="387">
        <v>0</v>
      </c>
      <c r="N59" s="387">
        <v>0</v>
      </c>
      <c r="O59" s="54"/>
    </row>
    <row r="60" spans="1:15" ht="14.5" x14ac:dyDescent="0.35">
      <c r="A60" s="154" t="s">
        <v>31</v>
      </c>
      <c r="B60" s="388">
        <f t="shared" si="2"/>
        <v>21356587.34</v>
      </c>
      <c r="C60" s="387">
        <v>3722280</v>
      </c>
      <c r="D60" s="387">
        <v>0</v>
      </c>
      <c r="E60" s="387">
        <v>14645275.34</v>
      </c>
      <c r="F60" s="387">
        <v>2989032</v>
      </c>
      <c r="G60" s="387">
        <v>0</v>
      </c>
      <c r="H60" s="387">
        <v>0</v>
      </c>
      <c r="I60" s="387">
        <v>0</v>
      </c>
      <c r="J60" s="387">
        <v>0</v>
      </c>
      <c r="K60" s="387">
        <v>0</v>
      </c>
      <c r="L60" s="387">
        <v>0</v>
      </c>
      <c r="M60" s="387">
        <v>0</v>
      </c>
      <c r="N60" s="387">
        <v>0</v>
      </c>
      <c r="O60" s="54"/>
    </row>
    <row r="61" spans="1:15" ht="14.5" x14ac:dyDescent="0.35">
      <c r="A61" s="154" t="s">
        <v>32</v>
      </c>
      <c r="B61" s="388">
        <f t="shared" si="2"/>
        <v>580360131.15999985</v>
      </c>
      <c r="C61" s="387">
        <v>143659848.76999995</v>
      </c>
      <c r="D61" s="387">
        <v>96148810.549999997</v>
      </c>
      <c r="E61" s="387">
        <v>149055395.09999996</v>
      </c>
      <c r="F61" s="387">
        <v>140864038.70000002</v>
      </c>
      <c r="G61" s="387">
        <v>39103305.379999995</v>
      </c>
      <c r="H61" s="387">
        <v>0</v>
      </c>
      <c r="I61" s="387">
        <v>1968460.13</v>
      </c>
      <c r="J61" s="387">
        <v>2791422.28</v>
      </c>
      <c r="K61" s="387">
        <v>0</v>
      </c>
      <c r="L61" s="387">
        <v>0</v>
      </c>
      <c r="M61" s="387">
        <v>0</v>
      </c>
      <c r="N61" s="387">
        <v>6768850.25</v>
      </c>
      <c r="O61" s="54"/>
    </row>
    <row r="62" spans="1:15" ht="14.5" x14ac:dyDescent="0.35">
      <c r="A62" s="154" t="s">
        <v>143</v>
      </c>
      <c r="B62" s="388">
        <f t="shared" si="2"/>
        <v>13108351.17</v>
      </c>
      <c r="C62" s="387">
        <v>3364689</v>
      </c>
      <c r="D62" s="387">
        <v>1507276</v>
      </c>
      <c r="E62" s="387">
        <v>5810481.1699999999</v>
      </c>
      <c r="F62" s="387">
        <v>0</v>
      </c>
      <c r="G62" s="387">
        <v>2425905</v>
      </c>
      <c r="H62" s="387">
        <v>0</v>
      </c>
      <c r="I62" s="387">
        <v>0</v>
      </c>
      <c r="J62" s="387">
        <v>0</v>
      </c>
      <c r="K62" s="387">
        <v>0</v>
      </c>
      <c r="L62" s="387">
        <v>0</v>
      </c>
      <c r="M62" s="387">
        <v>0</v>
      </c>
      <c r="N62" s="387">
        <v>0</v>
      </c>
      <c r="O62" s="54"/>
    </row>
    <row r="63" spans="1:15" ht="14.5" x14ac:dyDescent="0.35">
      <c r="A63" s="154" t="s">
        <v>33</v>
      </c>
      <c r="B63" s="388">
        <f t="shared" si="2"/>
        <v>9808889.8900000006</v>
      </c>
      <c r="C63" s="387">
        <v>964364.89</v>
      </c>
      <c r="D63" s="387">
        <v>0</v>
      </c>
      <c r="E63" s="387">
        <v>0</v>
      </c>
      <c r="F63" s="387">
        <v>4624124</v>
      </c>
      <c r="G63" s="387">
        <v>4220401</v>
      </c>
      <c r="H63" s="387">
        <v>0</v>
      </c>
      <c r="I63" s="387">
        <v>0</v>
      </c>
      <c r="J63" s="387">
        <v>0</v>
      </c>
      <c r="K63" s="387">
        <v>0</v>
      </c>
      <c r="L63" s="387">
        <v>0</v>
      </c>
      <c r="M63" s="387">
        <v>0</v>
      </c>
      <c r="N63" s="387">
        <v>0</v>
      </c>
      <c r="O63" s="54"/>
    </row>
    <row r="64" spans="1:15" ht="14.5" x14ac:dyDescent="0.35">
      <c r="A64" s="154" t="s">
        <v>205</v>
      </c>
      <c r="B64" s="388">
        <f t="shared" si="2"/>
        <v>2189429</v>
      </c>
      <c r="C64" s="387">
        <v>2189429</v>
      </c>
      <c r="D64" s="387">
        <v>0</v>
      </c>
      <c r="E64" s="387">
        <v>0</v>
      </c>
      <c r="F64" s="387">
        <v>0</v>
      </c>
      <c r="G64" s="387">
        <v>0</v>
      </c>
      <c r="H64" s="387">
        <v>0</v>
      </c>
      <c r="I64" s="387">
        <v>0</v>
      </c>
      <c r="J64" s="387">
        <v>0</v>
      </c>
      <c r="K64" s="387">
        <v>0</v>
      </c>
      <c r="L64" s="387">
        <v>0</v>
      </c>
      <c r="M64" s="387">
        <v>0</v>
      </c>
      <c r="N64" s="387">
        <v>0</v>
      </c>
      <c r="O64" s="54"/>
    </row>
    <row r="65" spans="1:15" ht="14.5" x14ac:dyDescent="0.35">
      <c r="A65" s="154" t="s">
        <v>34</v>
      </c>
      <c r="B65" s="388">
        <f t="shared" si="2"/>
        <v>11959917.01</v>
      </c>
      <c r="C65" s="387">
        <v>2042727.01</v>
      </c>
      <c r="D65" s="387">
        <v>1638792</v>
      </c>
      <c r="E65" s="387">
        <v>6111877</v>
      </c>
      <c r="F65" s="387">
        <v>2166521</v>
      </c>
      <c r="G65" s="387">
        <v>0</v>
      </c>
      <c r="H65" s="387">
        <v>0</v>
      </c>
      <c r="I65" s="387">
        <v>0</v>
      </c>
      <c r="J65" s="387">
        <v>0</v>
      </c>
      <c r="K65" s="387">
        <v>0</v>
      </c>
      <c r="L65" s="387">
        <v>0</v>
      </c>
      <c r="M65" s="387">
        <v>0</v>
      </c>
      <c r="N65" s="387">
        <v>0</v>
      </c>
      <c r="O65" s="54"/>
    </row>
    <row r="66" spans="1:15" ht="14.5" x14ac:dyDescent="0.35">
      <c r="A66" s="154" t="s">
        <v>35</v>
      </c>
      <c r="B66" s="388">
        <f t="shared" si="2"/>
        <v>284927324.39999998</v>
      </c>
      <c r="C66" s="387">
        <v>133751709.22</v>
      </c>
      <c r="D66" s="387">
        <v>51584735.230000004</v>
      </c>
      <c r="E66" s="387">
        <v>66986245.880000003</v>
      </c>
      <c r="F66" s="387">
        <v>18548068</v>
      </c>
      <c r="G66" s="387">
        <v>287255</v>
      </c>
      <c r="H66" s="387">
        <v>5000000</v>
      </c>
      <c r="I66" s="387">
        <v>0</v>
      </c>
      <c r="J66" s="387">
        <v>0</v>
      </c>
      <c r="K66" s="387">
        <v>0</v>
      </c>
      <c r="L66" s="387">
        <v>0</v>
      </c>
      <c r="M66" s="387">
        <v>0</v>
      </c>
      <c r="N66" s="387">
        <v>8769311.0700000003</v>
      </c>
      <c r="O66" s="54"/>
    </row>
    <row r="67" spans="1:15" ht="14.5" x14ac:dyDescent="0.35">
      <c r="A67" s="154" t="s">
        <v>36</v>
      </c>
      <c r="B67" s="388">
        <f t="shared" si="2"/>
        <v>2934351020.5199995</v>
      </c>
      <c r="C67" s="387">
        <v>651303146.45000029</v>
      </c>
      <c r="D67" s="387">
        <v>384784299.8299998</v>
      </c>
      <c r="E67" s="387">
        <v>538219385.69999957</v>
      </c>
      <c r="F67" s="387">
        <v>634443056.88999987</v>
      </c>
      <c r="G67" s="387">
        <v>446239831.41999996</v>
      </c>
      <c r="H67" s="387">
        <v>223915572</v>
      </c>
      <c r="I67" s="387">
        <v>24184208.969999999</v>
      </c>
      <c r="J67" s="387">
        <v>6738551.9000000004</v>
      </c>
      <c r="K67" s="387">
        <v>2549089</v>
      </c>
      <c r="L67" s="387">
        <v>0</v>
      </c>
      <c r="M67" s="387">
        <v>4415038.51</v>
      </c>
      <c r="N67" s="387">
        <v>17558839.850000001</v>
      </c>
      <c r="O67" s="54"/>
    </row>
    <row r="68" spans="1:15" ht="14.5" x14ac:dyDescent="0.35">
      <c r="A68" s="154" t="s">
        <v>37</v>
      </c>
      <c r="B68" s="388">
        <f t="shared" si="2"/>
        <v>257528381.06999999</v>
      </c>
      <c r="C68" s="387">
        <v>93614041.910000011</v>
      </c>
      <c r="D68" s="387">
        <v>70001114.400000006</v>
      </c>
      <c r="E68" s="387">
        <v>65049399.690000005</v>
      </c>
      <c r="F68" s="387">
        <v>27753825.07</v>
      </c>
      <c r="G68" s="387">
        <v>1110000</v>
      </c>
      <c r="H68" s="387">
        <v>0</v>
      </c>
      <c r="I68" s="387">
        <v>0</v>
      </c>
      <c r="J68" s="387">
        <v>0</v>
      </c>
      <c r="K68" s="387">
        <v>0</v>
      </c>
      <c r="L68" s="387">
        <v>0</v>
      </c>
      <c r="M68" s="387">
        <v>0</v>
      </c>
      <c r="N68" s="387">
        <v>0</v>
      </c>
      <c r="O68" s="54"/>
    </row>
    <row r="69" spans="1:15" ht="14.5" x14ac:dyDescent="0.35">
      <c r="A69" s="154" t="s">
        <v>144</v>
      </c>
      <c r="B69" s="388">
        <f t="shared" si="2"/>
        <v>17619816.199999999</v>
      </c>
      <c r="C69" s="387">
        <v>1700000</v>
      </c>
      <c r="D69" s="387">
        <v>3555745.2</v>
      </c>
      <c r="E69" s="387">
        <v>4803835</v>
      </c>
      <c r="F69" s="387">
        <v>7560236</v>
      </c>
      <c r="G69" s="387">
        <v>0</v>
      </c>
      <c r="H69" s="387">
        <v>0</v>
      </c>
      <c r="I69" s="387">
        <v>0</v>
      </c>
      <c r="J69" s="387">
        <v>0</v>
      </c>
      <c r="K69" s="387">
        <v>0</v>
      </c>
      <c r="L69" s="387">
        <v>0</v>
      </c>
      <c r="M69" s="387">
        <v>0</v>
      </c>
      <c r="N69" s="387">
        <v>0</v>
      </c>
      <c r="O69" s="54"/>
    </row>
    <row r="70" spans="1:15" ht="14.5" x14ac:dyDescent="0.35">
      <c r="A70" s="154" t="s">
        <v>38</v>
      </c>
      <c r="B70" s="388">
        <f t="shared" si="2"/>
        <v>25762104.379999999</v>
      </c>
      <c r="C70" s="387">
        <v>12952888.379999999</v>
      </c>
      <c r="D70" s="387">
        <v>2070614</v>
      </c>
      <c r="E70" s="387">
        <v>0</v>
      </c>
      <c r="F70" s="387">
        <v>7959450</v>
      </c>
      <c r="G70" s="387">
        <v>2779152</v>
      </c>
      <c r="H70" s="387">
        <v>0</v>
      </c>
      <c r="I70" s="387">
        <v>0</v>
      </c>
      <c r="J70" s="387">
        <v>0</v>
      </c>
      <c r="K70" s="387">
        <v>0</v>
      </c>
      <c r="L70" s="387">
        <v>0</v>
      </c>
      <c r="M70" s="387">
        <v>0</v>
      </c>
      <c r="N70" s="387">
        <v>0</v>
      </c>
      <c r="O70" s="54"/>
    </row>
    <row r="71" spans="1:15" ht="14.5" x14ac:dyDescent="0.35">
      <c r="A71" s="154" t="s">
        <v>39</v>
      </c>
      <c r="B71" s="388">
        <f t="shared" si="2"/>
        <v>8567863.379999999</v>
      </c>
      <c r="C71" s="387">
        <v>1685691.38</v>
      </c>
      <c r="D71" s="387">
        <v>0</v>
      </c>
      <c r="E71" s="387">
        <v>3426510</v>
      </c>
      <c r="F71" s="387">
        <v>0</v>
      </c>
      <c r="G71" s="387">
        <v>3455662</v>
      </c>
      <c r="H71" s="387">
        <v>0</v>
      </c>
      <c r="I71" s="387">
        <v>0</v>
      </c>
      <c r="J71" s="387">
        <v>0</v>
      </c>
      <c r="K71" s="387">
        <v>0</v>
      </c>
      <c r="L71" s="387">
        <v>0</v>
      </c>
      <c r="M71" s="387">
        <v>0</v>
      </c>
      <c r="N71" s="387">
        <v>0</v>
      </c>
      <c r="O71" s="54"/>
    </row>
    <row r="72" spans="1:15" ht="14.5" x14ac:dyDescent="0.35">
      <c r="A72" s="154" t="s">
        <v>40</v>
      </c>
      <c r="B72" s="388">
        <f t="shared" si="2"/>
        <v>2019822484.6599998</v>
      </c>
      <c r="C72" s="387">
        <v>539818644.70000017</v>
      </c>
      <c r="D72" s="387">
        <v>319811801.91999996</v>
      </c>
      <c r="E72" s="387">
        <v>399586960.79999995</v>
      </c>
      <c r="F72" s="387">
        <v>566353160.85000002</v>
      </c>
      <c r="G72" s="387">
        <v>182739673.38999999</v>
      </c>
      <c r="H72" s="387">
        <v>4961404</v>
      </c>
      <c r="I72" s="387">
        <v>0</v>
      </c>
      <c r="J72" s="387">
        <v>0</v>
      </c>
      <c r="K72" s="387">
        <v>2075839</v>
      </c>
      <c r="L72" s="387">
        <v>0</v>
      </c>
      <c r="M72" s="387">
        <v>0</v>
      </c>
      <c r="N72" s="387">
        <v>4475000</v>
      </c>
      <c r="O72" s="54"/>
    </row>
    <row r="73" spans="1:15" ht="14.5" x14ac:dyDescent="0.35">
      <c r="A73" s="154" t="s">
        <v>41</v>
      </c>
      <c r="B73" s="388">
        <f t="shared" si="2"/>
        <v>47431506.07</v>
      </c>
      <c r="C73" s="387">
        <v>13679297.069999998</v>
      </c>
      <c r="D73" s="387">
        <v>6135423</v>
      </c>
      <c r="E73" s="387">
        <v>8993572</v>
      </c>
      <c r="F73" s="387">
        <v>18623214</v>
      </c>
      <c r="G73" s="387">
        <v>0</v>
      </c>
      <c r="H73" s="387">
        <v>0</v>
      </c>
      <c r="I73" s="387">
        <v>0</v>
      </c>
      <c r="J73" s="387">
        <v>0</v>
      </c>
      <c r="K73" s="387">
        <v>0</v>
      </c>
      <c r="L73" s="387">
        <v>0</v>
      </c>
      <c r="M73" s="387">
        <v>0</v>
      </c>
      <c r="N73" s="387">
        <v>0</v>
      </c>
      <c r="O73" s="54"/>
    </row>
    <row r="74" spans="1:15" ht="14.5" x14ac:dyDescent="0.35">
      <c r="A74" s="154" t="s">
        <v>145</v>
      </c>
      <c r="B74" s="388">
        <f t="shared" si="2"/>
        <v>17162523.210000001</v>
      </c>
      <c r="C74" s="387">
        <v>4521022.12</v>
      </c>
      <c r="D74" s="387">
        <v>3439836</v>
      </c>
      <c r="E74" s="387">
        <v>7086818.0899999999</v>
      </c>
      <c r="F74" s="387">
        <v>2114847</v>
      </c>
      <c r="G74" s="387">
        <v>0</v>
      </c>
      <c r="H74" s="387">
        <v>0</v>
      </c>
      <c r="I74" s="387">
        <v>0</v>
      </c>
      <c r="J74" s="387">
        <v>0</v>
      </c>
      <c r="K74" s="387">
        <v>0</v>
      </c>
      <c r="L74" s="387">
        <v>0</v>
      </c>
      <c r="M74" s="387">
        <v>0</v>
      </c>
      <c r="N74" s="387">
        <v>0</v>
      </c>
      <c r="O74" s="54"/>
    </row>
    <row r="75" spans="1:15" ht="15" thickBot="1" x14ac:dyDescent="0.4">
      <c r="A75" s="154" t="s">
        <v>165</v>
      </c>
      <c r="B75" s="389">
        <f t="shared" si="2"/>
        <v>1973602.1</v>
      </c>
      <c r="C75" s="390">
        <v>1973602.1</v>
      </c>
      <c r="D75" s="390">
        <v>0</v>
      </c>
      <c r="E75" s="390">
        <v>0</v>
      </c>
      <c r="F75" s="390">
        <v>0</v>
      </c>
      <c r="G75" s="390">
        <v>0</v>
      </c>
      <c r="H75" s="390">
        <v>0</v>
      </c>
      <c r="I75" s="390">
        <v>0</v>
      </c>
      <c r="J75" s="390">
        <v>0</v>
      </c>
      <c r="K75" s="390">
        <v>0</v>
      </c>
      <c r="L75" s="390">
        <v>0</v>
      </c>
      <c r="M75" s="390">
        <v>0</v>
      </c>
      <c r="N75" s="390">
        <v>0</v>
      </c>
      <c r="O75" s="54"/>
    </row>
    <row r="76" spans="1:15" ht="14" thickTop="1" x14ac:dyDescent="0.3">
      <c r="A76" s="45" t="s">
        <v>1</v>
      </c>
      <c r="B76" s="20">
        <f>SUM(B56:B75)</f>
        <v>6919847307</v>
      </c>
      <c r="C76" s="20">
        <f t="shared" ref="C76:N76" si="3">SUM(C56:C75)</f>
        <v>1773999380.9200003</v>
      </c>
      <c r="D76" s="20">
        <f t="shared" si="3"/>
        <v>1078407416.2799997</v>
      </c>
      <c r="E76" s="20">
        <f t="shared" si="3"/>
        <v>1439489320.8399994</v>
      </c>
      <c r="F76" s="20">
        <f t="shared" si="3"/>
        <v>1583781196.1799998</v>
      </c>
      <c r="G76" s="20">
        <f t="shared" si="3"/>
        <v>727998405.81999993</v>
      </c>
      <c r="H76" s="20">
        <f t="shared" si="3"/>
        <v>233876976</v>
      </c>
      <c r="I76" s="391">
        <f t="shared" si="3"/>
        <v>26152669.099999998</v>
      </c>
      <c r="J76" s="391">
        <f t="shared" si="3"/>
        <v>9529974.1799999997</v>
      </c>
      <c r="K76" s="391">
        <f t="shared" si="3"/>
        <v>4624928</v>
      </c>
      <c r="L76" s="391">
        <f t="shared" si="3"/>
        <v>0</v>
      </c>
      <c r="M76" s="391">
        <f t="shared" si="3"/>
        <v>4415038.51</v>
      </c>
      <c r="N76" s="391">
        <f t="shared" si="3"/>
        <v>37572001.170000002</v>
      </c>
      <c r="O76" s="54"/>
    </row>
    <row r="77" spans="1:15" x14ac:dyDescent="0.3">
      <c r="A77" s="37"/>
      <c r="B77" s="38"/>
      <c r="C77" s="38"/>
      <c r="D77" s="38"/>
      <c r="E77" s="38"/>
      <c r="F77" s="38"/>
      <c r="G77" s="38"/>
      <c r="H77" s="38"/>
      <c r="I77" s="392"/>
      <c r="J77" s="392"/>
      <c r="K77" s="392"/>
      <c r="L77" s="392"/>
      <c r="M77" s="392"/>
      <c r="N77" s="392"/>
      <c r="O77" s="54"/>
    </row>
    <row r="78" spans="1:15" x14ac:dyDescent="0.3">
      <c r="A78" s="37"/>
      <c r="B78" s="38"/>
      <c r="C78" s="38"/>
      <c r="D78" s="38"/>
      <c r="E78" s="38"/>
      <c r="F78" s="38"/>
      <c r="G78" s="38"/>
      <c r="H78" s="38"/>
      <c r="I78" s="392"/>
      <c r="J78" s="392"/>
      <c r="K78" s="392"/>
      <c r="L78" s="392"/>
      <c r="M78" s="392"/>
      <c r="N78" s="392"/>
      <c r="O78" s="54"/>
    </row>
    <row r="79" spans="1:15" x14ac:dyDescent="0.3">
      <c r="O79" s="54"/>
    </row>
    <row r="80" spans="1:15" x14ac:dyDescent="0.3">
      <c r="A80" s="187" t="s">
        <v>226</v>
      </c>
      <c r="B80" s="187"/>
      <c r="C80" s="187"/>
      <c r="D80" s="187"/>
      <c r="E80" s="187"/>
      <c r="F80" s="187"/>
      <c r="G80" s="187"/>
      <c r="H80" s="187"/>
      <c r="I80" s="187"/>
      <c r="J80" s="187"/>
      <c r="K80" s="187"/>
      <c r="L80" s="187"/>
      <c r="M80" s="187"/>
      <c r="N80" s="187"/>
      <c r="O80" s="54"/>
    </row>
    <row r="81" spans="1:16" s="69" customFormat="1" x14ac:dyDescent="0.3">
      <c r="A81" s="108"/>
      <c r="B81" s="109" t="s">
        <v>1</v>
      </c>
      <c r="C81" s="110" t="s">
        <v>18</v>
      </c>
      <c r="D81" s="110" t="s">
        <v>19</v>
      </c>
      <c r="E81" s="111" t="s">
        <v>20</v>
      </c>
      <c r="F81" s="112" t="s">
        <v>21</v>
      </c>
      <c r="G81" s="159" t="s">
        <v>138</v>
      </c>
      <c r="H81" s="159" t="s">
        <v>139</v>
      </c>
      <c r="I81" s="112" t="s">
        <v>22</v>
      </c>
      <c r="J81" s="112" t="s">
        <v>23</v>
      </c>
      <c r="K81" s="112" t="s">
        <v>24</v>
      </c>
      <c r="L81" s="112" t="s">
        <v>25</v>
      </c>
      <c r="M81" s="112" t="s">
        <v>26</v>
      </c>
      <c r="N81" s="110" t="s">
        <v>27</v>
      </c>
      <c r="O81" s="185"/>
    </row>
    <row r="82" spans="1:16" x14ac:dyDescent="0.3">
      <c r="A82" s="12"/>
      <c r="B82" s="11"/>
      <c r="C82" s="13"/>
      <c r="D82" s="13"/>
      <c r="E82" s="17"/>
      <c r="F82" s="13"/>
      <c r="G82" s="13"/>
      <c r="H82" s="13"/>
      <c r="I82" s="13"/>
      <c r="J82" s="13"/>
      <c r="K82" s="13"/>
      <c r="L82" s="13"/>
      <c r="M82" s="13"/>
      <c r="N82" s="13"/>
      <c r="O82" s="54"/>
    </row>
    <row r="83" spans="1:16" ht="27" x14ac:dyDescent="0.3">
      <c r="A83" s="16" t="s">
        <v>42</v>
      </c>
      <c r="B83" s="25" t="s">
        <v>4</v>
      </c>
      <c r="C83" s="15" t="s">
        <v>4</v>
      </c>
      <c r="D83" s="15" t="s">
        <v>4</v>
      </c>
      <c r="E83" s="14" t="s">
        <v>4</v>
      </c>
      <c r="F83" s="15" t="s">
        <v>4</v>
      </c>
      <c r="G83" s="15" t="s">
        <v>4</v>
      </c>
      <c r="H83" s="15" t="s">
        <v>4</v>
      </c>
      <c r="I83" s="15" t="s">
        <v>4</v>
      </c>
      <c r="J83" s="15" t="s">
        <v>4</v>
      </c>
      <c r="K83" s="15" t="s">
        <v>4</v>
      </c>
      <c r="L83" s="15" t="s">
        <v>4</v>
      </c>
      <c r="M83" s="15" t="s">
        <v>4</v>
      </c>
      <c r="N83" s="15" t="s">
        <v>4</v>
      </c>
      <c r="O83" s="54"/>
    </row>
    <row r="84" spans="1:16" x14ac:dyDescent="0.3">
      <c r="A84" s="41" t="s">
        <v>182</v>
      </c>
      <c r="B84" s="393">
        <f>SUM(C84:N84)</f>
        <v>6919224489.0000019</v>
      </c>
      <c r="C84" s="394">
        <v>1773999380.9200006</v>
      </c>
      <c r="D84" s="395">
        <v>1078407416.28</v>
      </c>
      <c r="E84" s="395">
        <f>1439489320.84-E86</f>
        <v>1438866502.8399999</v>
      </c>
      <c r="F84" s="394">
        <v>1583781196.1800003</v>
      </c>
      <c r="G84" s="394">
        <v>727998405.82000005</v>
      </c>
      <c r="H84" s="394">
        <v>233876976.00000003</v>
      </c>
      <c r="I84" s="396">
        <v>26152669.100000001</v>
      </c>
      <c r="J84" s="396">
        <v>9529974.1799999997</v>
      </c>
      <c r="K84" s="396">
        <v>4624928</v>
      </c>
      <c r="L84" s="396">
        <v>0</v>
      </c>
      <c r="M84" s="396">
        <v>4415038.51</v>
      </c>
      <c r="N84" s="396">
        <v>37572001.170000002</v>
      </c>
      <c r="O84" s="54"/>
    </row>
    <row r="85" spans="1:16" x14ac:dyDescent="0.3">
      <c r="A85" s="49" t="s">
        <v>183</v>
      </c>
      <c r="B85" s="397">
        <f t="shared" ref="B85:B87" si="4">SUM(C85:N85)</f>
        <v>0</v>
      </c>
      <c r="C85" s="395"/>
      <c r="D85" s="395">
        <v>0</v>
      </c>
      <c r="E85" s="395">
        <v>0</v>
      </c>
      <c r="F85" s="395"/>
      <c r="G85" s="395"/>
      <c r="H85" s="395"/>
      <c r="I85" s="398"/>
      <c r="J85" s="398"/>
      <c r="K85" s="398"/>
      <c r="L85" s="398"/>
      <c r="M85" s="398"/>
      <c r="N85" s="398"/>
      <c r="O85" s="399"/>
    </row>
    <row r="86" spans="1:16" x14ac:dyDescent="0.3">
      <c r="A86" s="42" t="s">
        <v>184</v>
      </c>
      <c r="B86" s="397">
        <f t="shared" si="4"/>
        <v>622818</v>
      </c>
      <c r="C86" s="400"/>
      <c r="D86" s="400"/>
      <c r="E86" s="401">
        <v>622818</v>
      </c>
      <c r="F86" s="395"/>
      <c r="G86" s="395"/>
      <c r="H86" s="395"/>
      <c r="I86" s="398"/>
      <c r="J86" s="398"/>
      <c r="K86" s="398"/>
      <c r="L86" s="398"/>
      <c r="M86" s="398"/>
      <c r="N86" s="402"/>
      <c r="O86" s="54"/>
    </row>
    <row r="87" spans="1:16" ht="14" thickBot="1" x14ac:dyDescent="0.35">
      <c r="A87" s="42" t="s">
        <v>185</v>
      </c>
      <c r="B87" s="397">
        <f t="shared" si="4"/>
        <v>0</v>
      </c>
      <c r="C87" s="400"/>
      <c r="D87" s="400"/>
      <c r="E87" s="401"/>
      <c r="F87" s="395"/>
      <c r="G87" s="395"/>
      <c r="H87" s="395"/>
      <c r="I87" s="398"/>
      <c r="J87" s="398"/>
      <c r="K87" s="398"/>
      <c r="L87" s="398"/>
      <c r="M87" s="398"/>
      <c r="N87" s="402"/>
      <c r="O87" s="54"/>
    </row>
    <row r="88" spans="1:16" ht="14" thickTop="1" x14ac:dyDescent="0.3">
      <c r="A88" s="44" t="s">
        <v>1</v>
      </c>
      <c r="B88" s="22">
        <f t="shared" ref="B88:N88" si="5">SUM(B84:B87)</f>
        <v>6919847307.0000019</v>
      </c>
      <c r="C88" s="22">
        <f t="shared" si="5"/>
        <v>1773999380.9200006</v>
      </c>
      <c r="D88" s="22">
        <f t="shared" si="5"/>
        <v>1078407416.28</v>
      </c>
      <c r="E88" s="22">
        <f t="shared" si="5"/>
        <v>1439489320.8399999</v>
      </c>
      <c r="F88" s="22">
        <f t="shared" si="5"/>
        <v>1583781196.1800003</v>
      </c>
      <c r="G88" s="22">
        <f t="shared" si="5"/>
        <v>727998405.82000005</v>
      </c>
      <c r="H88" s="22">
        <f t="shared" si="5"/>
        <v>233876976.00000003</v>
      </c>
      <c r="I88" s="22">
        <f t="shared" si="5"/>
        <v>26152669.100000001</v>
      </c>
      <c r="J88" s="22">
        <f t="shared" si="5"/>
        <v>9529974.1799999997</v>
      </c>
      <c r="K88" s="22">
        <f t="shared" si="5"/>
        <v>4624928</v>
      </c>
      <c r="L88" s="22">
        <f t="shared" si="5"/>
        <v>0</v>
      </c>
      <c r="M88" s="22">
        <f t="shared" si="5"/>
        <v>4415038.51</v>
      </c>
      <c r="N88" s="23">
        <f t="shared" si="5"/>
        <v>37572001.170000002</v>
      </c>
      <c r="O88" s="54"/>
    </row>
    <row r="89" spans="1:16" x14ac:dyDescent="0.3">
      <c r="A89" s="26"/>
      <c r="B89" s="40"/>
      <c r="C89" s="40"/>
      <c r="D89" s="40"/>
      <c r="E89" s="40"/>
      <c r="F89" s="40"/>
      <c r="G89" s="40"/>
      <c r="H89" s="40"/>
      <c r="I89" s="40"/>
      <c r="J89" s="40"/>
      <c r="K89" s="40"/>
      <c r="L89" s="40"/>
      <c r="M89" s="40"/>
      <c r="N89" s="40"/>
      <c r="O89" s="54"/>
    </row>
    <row r="90" spans="1:16" x14ac:dyDescent="0.3">
      <c r="O90" s="54"/>
    </row>
    <row r="91" spans="1:16" x14ac:dyDescent="0.3">
      <c r="A91" s="187" t="s">
        <v>227</v>
      </c>
      <c r="B91" s="187"/>
      <c r="C91" s="187"/>
      <c r="D91" s="187"/>
      <c r="E91" s="187"/>
      <c r="F91" s="187"/>
      <c r="G91" s="187"/>
      <c r="H91" s="187"/>
      <c r="I91" s="187"/>
      <c r="J91" s="187"/>
      <c r="K91" s="187"/>
      <c r="L91" s="187"/>
      <c r="M91" s="187"/>
      <c r="N91" s="187"/>
      <c r="O91" s="54"/>
    </row>
    <row r="92" spans="1:16" x14ac:dyDescent="0.3">
      <c r="A92" s="108"/>
      <c r="B92" s="109" t="s">
        <v>1</v>
      </c>
      <c r="C92" s="110" t="s">
        <v>18</v>
      </c>
      <c r="D92" s="110" t="s">
        <v>19</v>
      </c>
      <c r="E92" s="111" t="s">
        <v>20</v>
      </c>
      <c r="F92" s="112" t="s">
        <v>21</v>
      </c>
      <c r="G92" s="159" t="s">
        <v>138</v>
      </c>
      <c r="H92" s="159" t="s">
        <v>139</v>
      </c>
      <c r="I92" s="112" t="s">
        <v>22</v>
      </c>
      <c r="J92" s="112" t="s">
        <v>23</v>
      </c>
      <c r="K92" s="112" t="s">
        <v>24</v>
      </c>
      <c r="L92" s="112" t="s">
        <v>25</v>
      </c>
      <c r="M92" s="112" t="s">
        <v>26</v>
      </c>
      <c r="N92" s="110" t="s">
        <v>27</v>
      </c>
      <c r="O92" s="54"/>
    </row>
    <row r="93" spans="1:16" x14ac:dyDescent="0.3">
      <c r="A93" s="46"/>
      <c r="B93" s="11"/>
      <c r="C93" s="13"/>
      <c r="D93" s="13"/>
      <c r="E93" s="17"/>
      <c r="F93" s="13"/>
      <c r="G93" s="13"/>
      <c r="H93" s="13"/>
      <c r="I93" s="13"/>
      <c r="J93" s="13"/>
      <c r="K93" s="13"/>
      <c r="L93" s="13"/>
      <c r="M93" s="13"/>
      <c r="N93" s="13"/>
      <c r="O93" s="185"/>
      <c r="P93" s="69"/>
    </row>
    <row r="94" spans="1:16" ht="27" x14ac:dyDescent="0.3">
      <c r="A94" s="47" t="s">
        <v>42</v>
      </c>
      <c r="B94" s="25" t="s">
        <v>4</v>
      </c>
      <c r="C94" s="15" t="s">
        <v>4</v>
      </c>
      <c r="D94" s="15" t="s">
        <v>4</v>
      </c>
      <c r="E94" s="14" t="s">
        <v>4</v>
      </c>
      <c r="F94" s="15" t="s">
        <v>4</v>
      </c>
      <c r="G94" s="15" t="s">
        <v>4</v>
      </c>
      <c r="H94" s="15" t="s">
        <v>4</v>
      </c>
      <c r="I94" s="15" t="s">
        <v>4</v>
      </c>
      <c r="J94" s="15" t="s">
        <v>4</v>
      </c>
      <c r="K94" s="15" t="s">
        <v>4</v>
      </c>
      <c r="L94" s="15" t="s">
        <v>4</v>
      </c>
      <c r="M94" s="15" t="s">
        <v>4</v>
      </c>
      <c r="N94" s="15" t="s">
        <v>4</v>
      </c>
      <c r="O94" s="54"/>
    </row>
    <row r="95" spans="1:16" x14ac:dyDescent="0.3">
      <c r="A95" s="42" t="s">
        <v>62</v>
      </c>
      <c r="B95" s="393">
        <f>SUM(C95:N95)</f>
        <v>839685847.35000002</v>
      </c>
      <c r="C95" s="403">
        <v>130269859.25</v>
      </c>
      <c r="D95" s="404">
        <v>96040654.269999981</v>
      </c>
      <c r="E95" s="404">
        <v>179812088.33000001</v>
      </c>
      <c r="F95" s="404">
        <v>239698587.70999998</v>
      </c>
      <c r="G95" s="404">
        <v>172556088.72</v>
      </c>
      <c r="H95" s="405">
        <v>12539258</v>
      </c>
      <c r="I95" s="406">
        <v>0</v>
      </c>
      <c r="J95" s="397">
        <v>0</v>
      </c>
      <c r="K95" s="393">
        <v>0</v>
      </c>
      <c r="L95" s="407">
        <v>0</v>
      </c>
      <c r="M95" s="407">
        <v>0</v>
      </c>
      <c r="N95" s="393">
        <v>8769311.0700000003</v>
      </c>
      <c r="O95" s="54"/>
    </row>
    <row r="96" spans="1:16" x14ac:dyDescent="0.3">
      <c r="A96" s="42" t="s">
        <v>63</v>
      </c>
      <c r="B96" s="397">
        <f t="shared" ref="B96:B99" si="6">SUM(C96:N96)</f>
        <v>1616534075.2500002</v>
      </c>
      <c r="C96" s="408">
        <v>260089852.91000006</v>
      </c>
      <c r="D96" s="405">
        <v>200638336.38000005</v>
      </c>
      <c r="E96" s="405">
        <v>334289004.98999995</v>
      </c>
      <c r="F96" s="405">
        <v>476733080.81000012</v>
      </c>
      <c r="G96" s="405">
        <v>233998514.88</v>
      </c>
      <c r="H96" s="405">
        <v>87674149</v>
      </c>
      <c r="I96" s="406">
        <v>15162500</v>
      </c>
      <c r="J96" s="397">
        <v>0</v>
      </c>
      <c r="K96" s="397">
        <v>0</v>
      </c>
      <c r="L96" s="406">
        <v>0</v>
      </c>
      <c r="M96" s="406">
        <v>0</v>
      </c>
      <c r="N96" s="397">
        <v>7948636.2799999993</v>
      </c>
      <c r="O96" s="54"/>
    </row>
    <row r="97" spans="1:15" x14ac:dyDescent="0.3">
      <c r="A97" s="42" t="s">
        <v>64</v>
      </c>
      <c r="B97" s="397">
        <f t="shared" si="6"/>
        <v>1269163029.6200001</v>
      </c>
      <c r="C97" s="408">
        <v>233213171.80999988</v>
      </c>
      <c r="D97" s="405">
        <v>208072497.90000001</v>
      </c>
      <c r="E97" s="405">
        <v>255826950.29999998</v>
      </c>
      <c r="F97" s="405">
        <v>319262790.06</v>
      </c>
      <c r="G97" s="405">
        <v>155804594.40000001</v>
      </c>
      <c r="H97" s="405">
        <v>87353396.170000002</v>
      </c>
      <c r="I97" s="406">
        <v>0</v>
      </c>
      <c r="J97" s="397">
        <v>1720552</v>
      </c>
      <c r="K97" s="397">
        <v>2075839</v>
      </c>
      <c r="L97" s="406">
        <v>0</v>
      </c>
      <c r="M97" s="406">
        <v>0</v>
      </c>
      <c r="N97" s="397">
        <v>5833237.9800000004</v>
      </c>
      <c r="O97" s="54"/>
    </row>
    <row r="98" spans="1:15" x14ac:dyDescent="0.3">
      <c r="A98" s="42" t="s">
        <v>65</v>
      </c>
      <c r="B98" s="397">
        <f t="shared" si="6"/>
        <v>1502859154.8499999</v>
      </c>
      <c r="C98" s="408">
        <v>431617757.97000015</v>
      </c>
      <c r="D98" s="405">
        <v>264708783.67000002</v>
      </c>
      <c r="E98" s="405">
        <v>322078738.00999999</v>
      </c>
      <c r="F98" s="405">
        <v>321681727.12</v>
      </c>
      <c r="G98" s="405">
        <v>116646565.49000001</v>
      </c>
      <c r="H98" s="405">
        <v>36927698</v>
      </c>
      <c r="I98" s="406">
        <v>0</v>
      </c>
      <c r="J98" s="397">
        <v>0</v>
      </c>
      <c r="K98" s="397">
        <v>0</v>
      </c>
      <c r="L98" s="406">
        <v>0</v>
      </c>
      <c r="M98" s="406">
        <v>0</v>
      </c>
      <c r="N98" s="397">
        <v>9197884.5899999999</v>
      </c>
      <c r="O98" s="54"/>
    </row>
    <row r="99" spans="1:15" ht="14" thickBot="1" x14ac:dyDescent="0.35">
      <c r="A99" s="43" t="s">
        <v>66</v>
      </c>
      <c r="B99" s="409">
        <f t="shared" si="6"/>
        <v>1691605199.9300001</v>
      </c>
      <c r="C99" s="410">
        <v>718808738.98000026</v>
      </c>
      <c r="D99" s="410">
        <v>308947144.05999994</v>
      </c>
      <c r="E99" s="410">
        <v>347482539.20999998</v>
      </c>
      <c r="F99" s="410">
        <v>226405010.48000002</v>
      </c>
      <c r="G99" s="410">
        <v>48992642.330000006</v>
      </c>
      <c r="H99" s="410">
        <v>9382474.8300000001</v>
      </c>
      <c r="I99" s="411">
        <v>10990169.100000001</v>
      </c>
      <c r="J99" s="409">
        <v>7809422.1799999997</v>
      </c>
      <c r="K99" s="409">
        <v>2549089</v>
      </c>
      <c r="L99" s="411">
        <v>0</v>
      </c>
      <c r="M99" s="411">
        <v>4415038.51</v>
      </c>
      <c r="N99" s="409">
        <v>5822931.25</v>
      </c>
      <c r="O99" s="54"/>
    </row>
    <row r="100" spans="1:15" ht="14" thickTop="1" x14ac:dyDescent="0.3">
      <c r="A100" s="42" t="s">
        <v>1</v>
      </c>
      <c r="B100" s="412">
        <f>SUM(B95:B99)</f>
        <v>6919847307</v>
      </c>
      <c r="C100" s="412">
        <f>SUM(C95:C99)</f>
        <v>1773999380.9200006</v>
      </c>
      <c r="D100" s="412">
        <f t="shared" ref="D100:N100" si="7">SUM(D95:D99)</f>
        <v>1078407416.28</v>
      </c>
      <c r="E100" s="412">
        <f t="shared" si="7"/>
        <v>1439489320.8399999</v>
      </c>
      <c r="F100" s="412">
        <f t="shared" si="7"/>
        <v>1583781196.1800003</v>
      </c>
      <c r="G100" s="412">
        <f t="shared" si="7"/>
        <v>727998405.82000005</v>
      </c>
      <c r="H100" s="412">
        <f t="shared" si="7"/>
        <v>233876976.00000003</v>
      </c>
      <c r="I100" s="412">
        <f t="shared" si="7"/>
        <v>26152669.100000001</v>
      </c>
      <c r="J100" s="412">
        <f t="shared" si="7"/>
        <v>9529974.1799999997</v>
      </c>
      <c r="K100" s="412">
        <f t="shared" si="7"/>
        <v>4624928</v>
      </c>
      <c r="L100" s="412">
        <f t="shared" si="7"/>
        <v>0</v>
      </c>
      <c r="M100" s="412">
        <f t="shared" si="7"/>
        <v>4415038.51</v>
      </c>
      <c r="N100" s="412">
        <f t="shared" si="7"/>
        <v>37572001.170000002</v>
      </c>
      <c r="O100" s="399"/>
    </row>
    <row r="101" spans="1:15" x14ac:dyDescent="0.3">
      <c r="A101" s="26"/>
      <c r="B101" s="413"/>
      <c r="C101" s="413"/>
      <c r="D101" s="413"/>
      <c r="E101" s="413"/>
      <c r="F101" s="413"/>
      <c r="G101" s="413"/>
      <c r="H101" s="413"/>
      <c r="I101" s="413"/>
      <c r="J101" s="413"/>
      <c r="K101" s="413"/>
      <c r="L101" s="413"/>
      <c r="M101" s="413"/>
      <c r="N101" s="413"/>
      <c r="O101" s="55"/>
    </row>
    <row r="102" spans="1:15" x14ac:dyDescent="0.3">
      <c r="A102" s="67"/>
      <c r="O102" s="54"/>
    </row>
    <row r="103" spans="1:15" x14ac:dyDescent="0.3">
      <c r="A103" s="187" t="s">
        <v>228</v>
      </c>
      <c r="B103" s="187"/>
      <c r="C103" s="187"/>
      <c r="D103" s="187"/>
      <c r="E103" s="187"/>
      <c r="F103" s="187"/>
      <c r="G103" s="187"/>
      <c r="H103" s="187"/>
      <c r="I103" s="187"/>
      <c r="J103" s="187"/>
      <c r="K103" s="187"/>
      <c r="L103" s="187"/>
      <c r="M103" s="187"/>
      <c r="N103" s="187"/>
      <c r="O103" s="54"/>
    </row>
    <row r="104" spans="1:15" x14ac:dyDescent="0.3">
      <c r="A104" s="108"/>
      <c r="B104" s="109" t="s">
        <v>1</v>
      </c>
      <c r="C104" s="110" t="s">
        <v>18</v>
      </c>
      <c r="D104" s="110" t="s">
        <v>19</v>
      </c>
      <c r="E104" s="111" t="s">
        <v>20</v>
      </c>
      <c r="F104" s="112" t="s">
        <v>21</v>
      </c>
      <c r="G104" s="159" t="s">
        <v>138</v>
      </c>
      <c r="H104" s="159" t="s">
        <v>139</v>
      </c>
      <c r="I104" s="112" t="s">
        <v>22</v>
      </c>
      <c r="J104" s="112" t="s">
        <v>23</v>
      </c>
      <c r="K104" s="112" t="s">
        <v>24</v>
      </c>
      <c r="L104" s="112" t="s">
        <v>25</v>
      </c>
      <c r="M104" s="112" t="s">
        <v>26</v>
      </c>
      <c r="N104" s="110" t="s">
        <v>27</v>
      </c>
      <c r="O104" s="54"/>
    </row>
    <row r="105" spans="1:15" x14ac:dyDescent="0.3">
      <c r="A105" s="46"/>
      <c r="B105" s="11"/>
      <c r="C105" s="13"/>
      <c r="D105" s="13"/>
      <c r="E105" s="17"/>
      <c r="F105" s="13"/>
      <c r="G105" s="13"/>
      <c r="H105" s="13"/>
      <c r="I105" s="13"/>
      <c r="J105" s="13"/>
      <c r="K105" s="13"/>
      <c r="L105" s="13"/>
      <c r="M105" s="13"/>
      <c r="N105" s="13"/>
      <c r="O105" s="54"/>
    </row>
    <row r="106" spans="1:15" ht="27" x14ac:dyDescent="0.3">
      <c r="A106" s="47"/>
      <c r="B106" s="25" t="s">
        <v>4</v>
      </c>
      <c r="C106" s="15" t="s">
        <v>4</v>
      </c>
      <c r="D106" s="15" t="s">
        <v>4</v>
      </c>
      <c r="E106" s="14" t="s">
        <v>4</v>
      </c>
      <c r="F106" s="15" t="s">
        <v>4</v>
      </c>
      <c r="G106" s="15" t="s">
        <v>4</v>
      </c>
      <c r="H106" s="15" t="s">
        <v>4</v>
      </c>
      <c r="I106" s="15" t="s">
        <v>4</v>
      </c>
      <c r="J106" s="15" t="s">
        <v>4</v>
      </c>
      <c r="K106" s="15" t="s">
        <v>4</v>
      </c>
      <c r="L106" s="15" t="s">
        <v>4</v>
      </c>
      <c r="M106" s="15" t="s">
        <v>4</v>
      </c>
      <c r="N106" s="15" t="s">
        <v>4</v>
      </c>
      <c r="O106" s="54"/>
    </row>
    <row r="107" spans="1:15" ht="14.5" x14ac:dyDescent="0.35">
      <c r="A107" s="42" t="s">
        <v>201</v>
      </c>
      <c r="B107" s="140">
        <f t="shared" ref="B107:B110" si="8">SUM(C107:N107)</f>
        <v>6899593510.9000034</v>
      </c>
      <c r="C107" s="414">
        <v>1762784337.3500025</v>
      </c>
      <c r="D107" s="387">
        <v>1073989235.2800007</v>
      </c>
      <c r="E107" s="414">
        <v>1437478268.3100002</v>
      </c>
      <c r="F107" s="387">
        <v>1582162623.1799996</v>
      </c>
      <c r="G107" s="414">
        <v>727007459.81999993</v>
      </c>
      <c r="H107" s="387">
        <v>233876975.99999997</v>
      </c>
      <c r="I107" s="414">
        <v>26152669.099999998</v>
      </c>
      <c r="J107" s="387">
        <v>9529974.1799999997</v>
      </c>
      <c r="K107" s="414">
        <v>4624928</v>
      </c>
      <c r="L107" s="387">
        <v>0</v>
      </c>
      <c r="M107" s="414">
        <v>4415038.51</v>
      </c>
      <c r="N107" s="387">
        <v>37572001.170000002</v>
      </c>
      <c r="O107" s="54"/>
    </row>
    <row r="108" spans="1:15" ht="14.5" x14ac:dyDescent="0.35">
      <c r="A108" s="42" t="s">
        <v>202</v>
      </c>
      <c r="B108" s="88">
        <f t="shared" si="8"/>
        <v>17767658.100000001</v>
      </c>
      <c r="C108" s="415">
        <v>8728905.5700000003</v>
      </c>
      <c r="D108" s="387">
        <v>4418181</v>
      </c>
      <c r="E108" s="415">
        <v>2011052.53</v>
      </c>
      <c r="F108" s="387">
        <v>1618573</v>
      </c>
      <c r="G108" s="415">
        <v>990946</v>
      </c>
      <c r="H108" s="387">
        <v>0</v>
      </c>
      <c r="I108" s="415">
        <v>0</v>
      </c>
      <c r="J108" s="387">
        <v>0</v>
      </c>
      <c r="K108" s="415">
        <v>0</v>
      </c>
      <c r="L108" s="387">
        <v>0</v>
      </c>
      <c r="M108" s="415">
        <v>0</v>
      </c>
      <c r="N108" s="387">
        <v>0</v>
      </c>
      <c r="O108" s="54"/>
    </row>
    <row r="109" spans="1:15" x14ac:dyDescent="0.3">
      <c r="A109" s="42" t="s">
        <v>58</v>
      </c>
      <c r="B109" s="88">
        <f t="shared" si="8"/>
        <v>2486138</v>
      </c>
      <c r="C109" s="416">
        <v>2486138</v>
      </c>
      <c r="D109" s="417">
        <v>0</v>
      </c>
      <c r="E109" s="416">
        <v>0</v>
      </c>
      <c r="F109" s="417">
        <v>0</v>
      </c>
      <c r="G109" s="416">
        <v>0</v>
      </c>
      <c r="H109" s="418">
        <v>0</v>
      </c>
      <c r="I109" s="419">
        <v>0</v>
      </c>
      <c r="J109" s="420">
        <v>0</v>
      </c>
      <c r="K109" s="419">
        <v>0</v>
      </c>
      <c r="L109" s="420">
        <v>0</v>
      </c>
      <c r="M109" s="419">
        <v>0</v>
      </c>
      <c r="N109" s="421">
        <v>0</v>
      </c>
      <c r="O109" s="54"/>
    </row>
    <row r="110" spans="1:15" ht="14" thickBot="1" x14ac:dyDescent="0.35">
      <c r="A110" s="43" t="s">
        <v>203</v>
      </c>
      <c r="B110" s="148">
        <f t="shared" si="8"/>
        <v>0</v>
      </c>
      <c r="C110" s="422">
        <v>0</v>
      </c>
      <c r="D110" s="417">
        <v>0</v>
      </c>
      <c r="E110" s="422">
        <v>0</v>
      </c>
      <c r="F110" s="417">
        <v>0</v>
      </c>
      <c r="G110" s="422">
        <v>0</v>
      </c>
      <c r="H110" s="418">
        <v>0</v>
      </c>
      <c r="I110" s="423">
        <v>0</v>
      </c>
      <c r="J110" s="420">
        <v>0</v>
      </c>
      <c r="K110" s="423">
        <v>0</v>
      </c>
      <c r="L110" s="420">
        <v>0</v>
      </c>
      <c r="M110" s="423">
        <v>0</v>
      </c>
      <c r="N110" s="424">
        <v>0</v>
      </c>
      <c r="O110" s="54"/>
    </row>
    <row r="111" spans="1:15" ht="14" thickTop="1" x14ac:dyDescent="0.3">
      <c r="A111" s="42" t="s">
        <v>1</v>
      </c>
      <c r="B111" s="139">
        <f>SUM(B107:B110)</f>
        <v>6919847307.0000038</v>
      </c>
      <c r="C111" s="97">
        <f t="shared" ref="C111:N111" si="9">SUM(C107:C110)</f>
        <v>1773999380.9200025</v>
      </c>
      <c r="D111" s="97">
        <f t="shared" si="9"/>
        <v>1078407416.2800007</v>
      </c>
      <c r="E111" s="97">
        <f t="shared" si="9"/>
        <v>1439489320.8400002</v>
      </c>
      <c r="F111" s="97">
        <f t="shared" si="9"/>
        <v>1583781196.1799996</v>
      </c>
      <c r="G111" s="139">
        <f t="shared" si="9"/>
        <v>727998405.81999993</v>
      </c>
      <c r="H111" s="97">
        <f t="shared" si="9"/>
        <v>233876975.99999997</v>
      </c>
      <c r="I111" s="139">
        <f t="shared" si="9"/>
        <v>26152669.099999998</v>
      </c>
      <c r="J111" s="97">
        <f t="shared" si="9"/>
        <v>9529974.1799999997</v>
      </c>
      <c r="K111" s="139">
        <f t="shared" si="9"/>
        <v>4624928</v>
      </c>
      <c r="L111" s="97">
        <f t="shared" si="9"/>
        <v>0</v>
      </c>
      <c r="M111" s="139">
        <f t="shared" si="9"/>
        <v>4415038.51</v>
      </c>
      <c r="N111" s="98">
        <f t="shared" si="9"/>
        <v>37572001.170000002</v>
      </c>
      <c r="O111" s="54"/>
    </row>
    <row r="112" spans="1:15" x14ac:dyDescent="0.3">
      <c r="A112" s="26"/>
      <c r="B112" s="99"/>
      <c r="C112" s="99"/>
      <c r="D112" s="99"/>
      <c r="E112" s="99"/>
      <c r="F112" s="99"/>
      <c r="G112" s="99"/>
      <c r="H112" s="99"/>
      <c r="I112" s="99"/>
      <c r="J112" s="99"/>
      <c r="K112" s="99"/>
      <c r="L112" s="99"/>
      <c r="M112" s="99"/>
      <c r="N112" s="99"/>
    </row>
    <row r="114" spans="1:15" x14ac:dyDescent="0.3">
      <c r="A114" s="187" t="s">
        <v>229</v>
      </c>
      <c r="B114" s="187"/>
      <c r="C114" s="187"/>
      <c r="D114" s="187"/>
      <c r="E114" s="187"/>
      <c r="F114" s="187"/>
      <c r="G114" s="187"/>
      <c r="H114" s="187"/>
      <c r="I114" s="187"/>
      <c r="J114" s="187"/>
      <c r="K114" s="187"/>
      <c r="L114" s="187"/>
      <c r="M114" s="187"/>
      <c r="N114" s="187"/>
      <c r="O114" s="54"/>
    </row>
    <row r="115" spans="1:15" x14ac:dyDescent="0.3">
      <c r="A115" s="113"/>
      <c r="B115" s="109" t="s">
        <v>1</v>
      </c>
      <c r="C115" s="110" t="s">
        <v>18</v>
      </c>
      <c r="D115" s="110" t="s">
        <v>19</v>
      </c>
      <c r="E115" s="111" t="s">
        <v>20</v>
      </c>
      <c r="F115" s="112" t="s">
        <v>21</v>
      </c>
      <c r="G115" s="159" t="s">
        <v>138</v>
      </c>
      <c r="H115" s="159" t="s">
        <v>139</v>
      </c>
      <c r="I115" s="112" t="s">
        <v>22</v>
      </c>
      <c r="J115" s="112" t="s">
        <v>23</v>
      </c>
      <c r="K115" s="112" t="s">
        <v>24</v>
      </c>
      <c r="L115" s="112" t="s">
        <v>25</v>
      </c>
      <c r="M115" s="112" t="s">
        <v>26</v>
      </c>
      <c r="N115" s="110" t="s">
        <v>27</v>
      </c>
      <c r="O115" s="54"/>
    </row>
    <row r="116" spans="1:15" x14ac:dyDescent="0.3">
      <c r="A116" s="48"/>
      <c r="B116" s="11"/>
      <c r="C116" s="13"/>
      <c r="D116" s="13"/>
      <c r="E116" s="17"/>
      <c r="F116" s="13"/>
      <c r="G116" s="13"/>
      <c r="H116" s="13"/>
      <c r="I116" s="13"/>
      <c r="J116" s="13"/>
      <c r="K116" s="13"/>
      <c r="L116" s="13"/>
      <c r="M116" s="13"/>
      <c r="N116" s="13"/>
      <c r="O116" s="54"/>
    </row>
    <row r="117" spans="1:15" ht="27" x14ac:dyDescent="0.3">
      <c r="A117" s="47"/>
      <c r="B117" s="25" t="s">
        <v>4</v>
      </c>
      <c r="C117" s="15" t="s">
        <v>4</v>
      </c>
      <c r="D117" s="15" t="s">
        <v>4</v>
      </c>
      <c r="E117" s="14" t="s">
        <v>4</v>
      </c>
      <c r="F117" s="15" t="s">
        <v>4</v>
      </c>
      <c r="G117" s="15" t="s">
        <v>4</v>
      </c>
      <c r="H117" s="15" t="s">
        <v>4</v>
      </c>
      <c r="I117" s="15" t="s">
        <v>4</v>
      </c>
      <c r="J117" s="15" t="s">
        <v>4</v>
      </c>
      <c r="K117" s="15" t="s">
        <v>4</v>
      </c>
      <c r="L117" s="15" t="s">
        <v>4</v>
      </c>
      <c r="M117" s="15" t="s">
        <v>4</v>
      </c>
      <c r="N117" s="15" t="s">
        <v>4</v>
      </c>
      <c r="O117" s="54"/>
    </row>
    <row r="118" spans="1:15" x14ac:dyDescent="0.3">
      <c r="A118" s="42" t="s">
        <v>57</v>
      </c>
      <c r="B118" s="394">
        <f>SUM(C118:N118)</f>
        <v>6919847307.0000038</v>
      </c>
      <c r="C118" s="394">
        <v>1773999380.9200025</v>
      </c>
      <c r="D118" s="394">
        <v>1078407416.2800007</v>
      </c>
      <c r="E118" s="394">
        <v>1439489320.8400002</v>
      </c>
      <c r="F118" s="394">
        <v>1583781196.1799996</v>
      </c>
      <c r="G118" s="394">
        <v>727998405.81999993</v>
      </c>
      <c r="H118" s="394">
        <v>233876975.99999997</v>
      </c>
      <c r="I118" s="396">
        <v>26152669.099999998</v>
      </c>
      <c r="J118" s="396">
        <v>9529974.1799999997</v>
      </c>
      <c r="K118" s="396">
        <v>4624928</v>
      </c>
      <c r="L118" s="396">
        <v>0</v>
      </c>
      <c r="M118" s="396">
        <v>4415038.51</v>
      </c>
      <c r="N118" s="396">
        <v>37572001.170000002</v>
      </c>
      <c r="O118" s="399"/>
    </row>
    <row r="119" spans="1:15" x14ac:dyDescent="0.3">
      <c r="A119" s="42" t="s">
        <v>67</v>
      </c>
      <c r="B119" s="100"/>
      <c r="C119" s="417"/>
      <c r="D119" s="417"/>
      <c r="E119" s="417"/>
      <c r="F119" s="417"/>
      <c r="G119" s="417"/>
      <c r="H119" s="417"/>
      <c r="I119" s="425"/>
      <c r="J119" s="425"/>
      <c r="K119" s="425"/>
      <c r="L119" s="425"/>
      <c r="M119" s="425"/>
      <c r="N119" s="425"/>
      <c r="O119" s="399"/>
    </row>
    <row r="120" spans="1:15" x14ac:dyDescent="0.3">
      <c r="A120" s="42" t="s">
        <v>68</v>
      </c>
      <c r="B120" s="100"/>
      <c r="C120" s="417"/>
      <c r="D120" s="417"/>
      <c r="E120" s="417"/>
      <c r="F120" s="417"/>
      <c r="G120" s="417"/>
      <c r="H120" s="417"/>
      <c r="I120" s="425"/>
      <c r="J120" s="425"/>
      <c r="K120" s="425"/>
      <c r="L120" s="425"/>
      <c r="M120" s="425"/>
      <c r="N120" s="425"/>
      <c r="O120" s="399"/>
    </row>
    <row r="121" spans="1:15" ht="14" thickBot="1" x14ac:dyDescent="0.35">
      <c r="A121" s="43" t="s">
        <v>69</v>
      </c>
      <c r="B121" s="93"/>
      <c r="C121" s="426"/>
      <c r="D121" s="426"/>
      <c r="E121" s="426"/>
      <c r="F121" s="426"/>
      <c r="G121" s="426"/>
      <c r="H121" s="426"/>
      <c r="I121" s="427"/>
      <c r="J121" s="427"/>
      <c r="K121" s="427"/>
      <c r="L121" s="427"/>
      <c r="M121" s="427"/>
      <c r="N121" s="427"/>
      <c r="O121" s="399"/>
    </row>
    <row r="122" spans="1:15" ht="14" thickTop="1" x14ac:dyDescent="0.3">
      <c r="A122" s="42" t="s">
        <v>1</v>
      </c>
      <c r="B122" s="97">
        <f>SUM(B118:B121)</f>
        <v>6919847307.0000038</v>
      </c>
      <c r="C122" s="97">
        <f>SUM(C118:C121)</f>
        <v>1773999380.9200025</v>
      </c>
      <c r="D122" s="97">
        <f t="shared" ref="D122:N122" si="10">SUM(D118:D121)</f>
        <v>1078407416.2800007</v>
      </c>
      <c r="E122" s="97">
        <f t="shared" si="10"/>
        <v>1439489320.8400002</v>
      </c>
      <c r="F122" s="97">
        <f t="shared" si="10"/>
        <v>1583781196.1799996</v>
      </c>
      <c r="G122" s="97">
        <f t="shared" si="10"/>
        <v>727998405.81999993</v>
      </c>
      <c r="H122" s="97">
        <f t="shared" si="10"/>
        <v>233876975.99999997</v>
      </c>
      <c r="I122" s="97">
        <f t="shared" si="10"/>
        <v>26152669.099999998</v>
      </c>
      <c r="J122" s="97">
        <f t="shared" si="10"/>
        <v>9529974.1799999997</v>
      </c>
      <c r="K122" s="97">
        <f t="shared" si="10"/>
        <v>4624928</v>
      </c>
      <c r="L122" s="97">
        <f t="shared" si="10"/>
        <v>0</v>
      </c>
      <c r="M122" s="97">
        <f t="shared" si="10"/>
        <v>4415038.51</v>
      </c>
      <c r="N122" s="97">
        <f t="shared" si="10"/>
        <v>37572001.170000002</v>
      </c>
      <c r="O122" s="399"/>
    </row>
    <row r="123" spans="1:15" x14ac:dyDescent="0.3">
      <c r="A123" s="26"/>
      <c r="B123" s="99"/>
      <c r="C123" s="99"/>
      <c r="D123" s="99"/>
      <c r="E123" s="99"/>
      <c r="F123" s="99"/>
      <c r="G123" s="99"/>
      <c r="H123" s="99"/>
      <c r="I123" s="99"/>
      <c r="J123" s="99"/>
      <c r="K123" s="99"/>
      <c r="L123" s="99"/>
      <c r="M123" s="99"/>
      <c r="N123" s="99"/>
      <c r="O123" s="55"/>
    </row>
    <row r="124" spans="1:15" x14ac:dyDescent="0.3">
      <c r="O124" s="54"/>
    </row>
    <row r="125" spans="1:15" x14ac:dyDescent="0.3">
      <c r="A125" s="187" t="s">
        <v>230</v>
      </c>
      <c r="B125" s="187"/>
      <c r="C125" s="187"/>
      <c r="D125" s="187"/>
      <c r="E125" s="187"/>
      <c r="F125" s="187"/>
      <c r="G125" s="187"/>
      <c r="H125" s="187"/>
      <c r="I125" s="187"/>
      <c r="J125" s="54"/>
    </row>
    <row r="126" spans="1:15" ht="40.5" x14ac:dyDescent="0.3">
      <c r="A126" s="109" t="s">
        <v>50</v>
      </c>
      <c r="B126" s="109" t="s">
        <v>51</v>
      </c>
      <c r="C126" s="149" t="s">
        <v>204</v>
      </c>
      <c r="D126" s="149" t="s">
        <v>59</v>
      </c>
      <c r="E126" s="149" t="s">
        <v>61</v>
      </c>
      <c r="F126" s="149" t="s">
        <v>53</v>
      </c>
      <c r="G126" s="150" t="s">
        <v>60</v>
      </c>
      <c r="H126" s="151" t="s">
        <v>54</v>
      </c>
      <c r="I126" s="150" t="s">
        <v>55</v>
      </c>
      <c r="J126" s="54"/>
    </row>
    <row r="127" spans="1:15" x14ac:dyDescent="0.3">
      <c r="A127" s="41" t="s">
        <v>96</v>
      </c>
      <c r="B127" s="70" t="s">
        <v>3</v>
      </c>
      <c r="C127" s="428">
        <v>75000000</v>
      </c>
      <c r="D127" s="277" t="s">
        <v>104</v>
      </c>
      <c r="E127" s="277">
        <v>43173</v>
      </c>
      <c r="F127" s="101" t="s">
        <v>58</v>
      </c>
      <c r="G127" s="101" t="s">
        <v>109</v>
      </c>
      <c r="H127" s="277" t="s">
        <v>113</v>
      </c>
      <c r="I127" s="143">
        <v>5</v>
      </c>
      <c r="J127" s="54"/>
    </row>
    <row r="128" spans="1:15" x14ac:dyDescent="0.3">
      <c r="A128" s="42" t="s">
        <v>94</v>
      </c>
      <c r="B128" s="70" t="s">
        <v>3</v>
      </c>
      <c r="C128" s="419">
        <v>519000000</v>
      </c>
      <c r="D128" s="277" t="s">
        <v>102</v>
      </c>
      <c r="E128" s="277">
        <v>43357</v>
      </c>
      <c r="F128" s="101" t="s">
        <v>56</v>
      </c>
      <c r="G128" s="101" t="s">
        <v>108</v>
      </c>
      <c r="H128" s="277" t="s">
        <v>112</v>
      </c>
      <c r="I128" s="143">
        <v>7</v>
      </c>
      <c r="J128" s="54"/>
    </row>
    <row r="129" spans="1:10" x14ac:dyDescent="0.3">
      <c r="A129" s="42" t="s">
        <v>164</v>
      </c>
      <c r="B129" s="70" t="s">
        <v>3</v>
      </c>
      <c r="C129" s="419">
        <v>1000000000</v>
      </c>
      <c r="D129" s="277">
        <f>E129-365</f>
        <v>43242</v>
      </c>
      <c r="E129" s="277">
        <v>43607</v>
      </c>
      <c r="F129" s="101" t="s">
        <v>56</v>
      </c>
      <c r="G129" s="101" t="s">
        <v>108</v>
      </c>
      <c r="H129" s="277">
        <v>41355</v>
      </c>
      <c r="I129" s="143">
        <v>9</v>
      </c>
      <c r="J129" s="54"/>
    </row>
    <row r="130" spans="1:10" x14ac:dyDescent="0.3">
      <c r="A130" s="42" t="s">
        <v>200</v>
      </c>
      <c r="B130" s="70" t="s">
        <v>3</v>
      </c>
      <c r="C130" s="419">
        <v>650000000</v>
      </c>
      <c r="D130" s="309">
        <v>43438</v>
      </c>
      <c r="E130" s="309">
        <v>43803</v>
      </c>
      <c r="F130" s="143" t="s">
        <v>58</v>
      </c>
      <c r="G130" s="143" t="s">
        <v>109</v>
      </c>
      <c r="H130" s="309">
        <v>41521</v>
      </c>
      <c r="I130" s="143">
        <v>11</v>
      </c>
      <c r="J130" s="54"/>
    </row>
    <row r="131" spans="1:10" x14ac:dyDescent="0.3">
      <c r="A131" s="42" t="s">
        <v>206</v>
      </c>
      <c r="B131" s="70" t="s">
        <v>3</v>
      </c>
      <c r="C131" s="419">
        <v>1855000000</v>
      </c>
      <c r="D131" s="277">
        <v>43640</v>
      </c>
      <c r="E131" s="277">
        <v>44006</v>
      </c>
      <c r="F131" s="101" t="s">
        <v>56</v>
      </c>
      <c r="G131" s="101" t="s">
        <v>108</v>
      </c>
      <c r="H131" s="309">
        <v>41663</v>
      </c>
      <c r="I131" s="143">
        <v>12</v>
      </c>
      <c r="J131" s="54"/>
    </row>
    <row r="132" spans="1:10" x14ac:dyDescent="0.3">
      <c r="A132" s="42" t="s">
        <v>207</v>
      </c>
      <c r="B132" s="70" t="s">
        <v>3</v>
      </c>
      <c r="C132" s="419">
        <v>2000000000</v>
      </c>
      <c r="D132" s="277">
        <v>44315</v>
      </c>
      <c r="E132" s="277">
        <v>44680</v>
      </c>
      <c r="F132" s="101" t="s">
        <v>56</v>
      </c>
      <c r="G132" s="101" t="s">
        <v>108</v>
      </c>
      <c r="H132" s="309">
        <v>41521</v>
      </c>
      <c r="I132" s="143">
        <v>13</v>
      </c>
      <c r="J132" s="54"/>
    </row>
    <row r="133" spans="1:10" ht="14" thickBot="1" x14ac:dyDescent="0.35">
      <c r="A133" s="43" t="s">
        <v>250</v>
      </c>
      <c r="B133" s="169" t="s">
        <v>3</v>
      </c>
      <c r="C133" s="169">
        <v>200000000</v>
      </c>
      <c r="D133" s="275">
        <v>44522</v>
      </c>
      <c r="E133" s="275">
        <v>44887</v>
      </c>
      <c r="F133" s="172" t="s">
        <v>58</v>
      </c>
      <c r="G133" s="171" t="s">
        <v>109</v>
      </c>
      <c r="H133" s="278">
        <v>42696</v>
      </c>
      <c r="I133" s="172">
        <v>14</v>
      </c>
      <c r="J133" s="54"/>
    </row>
    <row r="134" spans="1:10" ht="14" thickTop="1" x14ac:dyDescent="0.3">
      <c r="A134" s="26"/>
      <c r="B134" s="67"/>
      <c r="C134" s="367">
        <f>SUM(C127:C133)</f>
        <v>6299000000</v>
      </c>
      <c r="D134" s="429"/>
      <c r="E134" s="429"/>
      <c r="F134" s="105"/>
      <c r="G134" s="105"/>
      <c r="H134" s="429"/>
      <c r="I134" s="105"/>
      <c r="J134" s="54"/>
    </row>
    <row r="135" spans="1:10" s="67" customFormat="1" x14ac:dyDescent="0.3">
      <c r="A135" s="26"/>
      <c r="C135" s="420"/>
      <c r="D135" s="102"/>
      <c r="E135" s="102"/>
      <c r="F135" s="105"/>
      <c r="I135" s="102"/>
    </row>
    <row r="136" spans="1:10" s="67" customFormat="1" x14ac:dyDescent="0.3">
      <c r="A136" s="26"/>
      <c r="C136" s="420"/>
      <c r="D136" s="102"/>
      <c r="E136" s="102"/>
      <c r="F136" s="105"/>
      <c r="I136" s="102"/>
    </row>
    <row r="137" spans="1:10" s="67" customFormat="1" x14ac:dyDescent="0.3">
      <c r="A137" s="187" t="s">
        <v>231</v>
      </c>
      <c r="B137" s="187"/>
      <c r="C137" s="187"/>
      <c r="D137" s="187"/>
      <c r="E137" s="187"/>
      <c r="F137" s="187"/>
      <c r="G137" s="55"/>
      <c r="I137" s="102"/>
    </row>
    <row r="138" spans="1:10" s="67" customFormat="1" x14ac:dyDescent="0.3">
      <c r="A138" s="136" t="s">
        <v>119</v>
      </c>
      <c r="B138" s="19" t="s">
        <v>50</v>
      </c>
      <c r="C138" s="19" t="s">
        <v>120</v>
      </c>
      <c r="D138" s="19" t="s">
        <v>51</v>
      </c>
      <c r="E138" s="63" t="s">
        <v>121</v>
      </c>
      <c r="F138" s="63" t="s">
        <v>166</v>
      </c>
      <c r="G138" s="55"/>
      <c r="I138" s="102"/>
    </row>
    <row r="139" spans="1:10" s="67" customFormat="1" x14ac:dyDescent="0.3">
      <c r="A139" s="8" t="s">
        <v>123</v>
      </c>
      <c r="B139" s="430" t="s">
        <v>124</v>
      </c>
      <c r="C139" s="430" t="s">
        <v>125</v>
      </c>
      <c r="D139" s="430" t="s">
        <v>3</v>
      </c>
      <c r="E139" s="419">
        <v>124895000</v>
      </c>
      <c r="F139" s="196" t="s">
        <v>242</v>
      </c>
      <c r="G139" s="55"/>
      <c r="I139" s="102"/>
    </row>
    <row r="140" spans="1:10" s="67" customFormat="1" x14ac:dyDescent="0.3">
      <c r="A140" s="7" t="s">
        <v>172</v>
      </c>
      <c r="B140" s="372" t="s">
        <v>178</v>
      </c>
      <c r="C140" s="372" t="s">
        <v>128</v>
      </c>
      <c r="D140" s="372" t="s">
        <v>3</v>
      </c>
      <c r="E140" s="419">
        <v>10000000</v>
      </c>
      <c r="F140" s="196" t="s">
        <v>129</v>
      </c>
      <c r="G140" s="55"/>
      <c r="I140" s="102"/>
    </row>
    <row r="141" spans="1:10" s="67" customFormat="1" x14ac:dyDescent="0.3">
      <c r="A141" s="7" t="s">
        <v>211</v>
      </c>
      <c r="B141" s="372" t="s">
        <v>216</v>
      </c>
      <c r="C141" s="372" t="s">
        <v>128</v>
      </c>
      <c r="D141" s="372" t="s">
        <v>3</v>
      </c>
      <c r="E141" s="425">
        <v>124000000</v>
      </c>
      <c r="F141" s="196" t="s">
        <v>195</v>
      </c>
      <c r="G141" s="55"/>
      <c r="I141" s="102"/>
    </row>
    <row r="142" spans="1:10" s="67" customFormat="1" x14ac:dyDescent="0.3">
      <c r="A142" s="7" t="s">
        <v>190</v>
      </c>
      <c r="B142" s="372" t="s">
        <v>194</v>
      </c>
      <c r="C142" s="372" t="s">
        <v>128</v>
      </c>
      <c r="D142" s="372" t="s">
        <v>3</v>
      </c>
      <c r="E142" s="419">
        <v>45000000</v>
      </c>
      <c r="F142" s="358" t="s">
        <v>129</v>
      </c>
      <c r="G142" s="55"/>
      <c r="I142" s="102"/>
    </row>
    <row r="143" spans="1:10" s="67" customFormat="1" x14ac:dyDescent="0.3">
      <c r="A143" s="7" t="s">
        <v>175</v>
      </c>
      <c r="B143" s="372" t="s">
        <v>163</v>
      </c>
      <c r="C143" s="372" t="s">
        <v>128</v>
      </c>
      <c r="D143" s="372" t="s">
        <v>3</v>
      </c>
      <c r="E143" s="419">
        <v>85000000</v>
      </c>
      <c r="F143" s="358" t="s">
        <v>195</v>
      </c>
      <c r="G143" s="55"/>
      <c r="I143" s="102"/>
    </row>
    <row r="144" spans="1:10" s="67" customFormat="1" x14ac:dyDescent="0.3">
      <c r="A144" s="7" t="s">
        <v>236</v>
      </c>
      <c r="B144" s="372" t="s">
        <v>239</v>
      </c>
      <c r="C144" s="372" t="s">
        <v>128</v>
      </c>
      <c r="D144" s="372" t="s">
        <v>3</v>
      </c>
      <c r="E144" s="419">
        <v>41000000</v>
      </c>
      <c r="F144" s="358" t="s">
        <v>195</v>
      </c>
      <c r="G144" s="55"/>
      <c r="I144" s="102"/>
    </row>
    <row r="145" spans="1:11" s="67" customFormat="1" x14ac:dyDescent="0.3">
      <c r="A145" s="7" t="s">
        <v>237</v>
      </c>
      <c r="B145" s="372" t="s">
        <v>240</v>
      </c>
      <c r="C145" s="372" t="s">
        <v>128</v>
      </c>
      <c r="D145" s="372" t="s">
        <v>3</v>
      </c>
      <c r="E145" s="419">
        <v>10000000</v>
      </c>
      <c r="F145" s="358" t="s">
        <v>129</v>
      </c>
      <c r="G145" s="55"/>
      <c r="I145" s="102"/>
    </row>
    <row r="146" spans="1:11" s="67" customFormat="1" x14ac:dyDescent="0.3">
      <c r="A146" s="7" t="s">
        <v>238</v>
      </c>
      <c r="B146" s="372" t="s">
        <v>241</v>
      </c>
      <c r="C146" s="372" t="s">
        <v>128</v>
      </c>
      <c r="D146" s="372" t="s">
        <v>3</v>
      </c>
      <c r="E146" s="419">
        <v>45000000</v>
      </c>
      <c r="F146" s="358" t="s">
        <v>129</v>
      </c>
      <c r="G146" s="55"/>
      <c r="I146" s="102"/>
    </row>
    <row r="147" spans="1:11" s="67" customFormat="1" ht="14" thickBot="1" x14ac:dyDescent="0.35">
      <c r="A147" s="3" t="s">
        <v>246</v>
      </c>
      <c r="B147" s="431" t="s">
        <v>247</v>
      </c>
      <c r="C147" s="431" t="s">
        <v>248</v>
      </c>
      <c r="D147" s="432" t="s">
        <v>3</v>
      </c>
      <c r="E147" s="433">
        <v>10000000</v>
      </c>
      <c r="F147" s="359" t="s">
        <v>249</v>
      </c>
      <c r="G147" s="55"/>
      <c r="I147" s="102"/>
    </row>
    <row r="148" spans="1:11" s="67" customFormat="1" ht="14" thickTop="1" x14ac:dyDescent="0.3">
      <c r="A148" s="5" t="s">
        <v>1</v>
      </c>
      <c r="B148" s="434"/>
      <c r="C148" s="434"/>
      <c r="D148" s="434"/>
      <c r="E148" s="423">
        <f>SUM(E139:E147)</f>
        <v>494895000</v>
      </c>
      <c r="F148" s="189"/>
      <c r="G148" s="55"/>
      <c r="I148" s="102"/>
    </row>
    <row r="149" spans="1:11" s="67" customFormat="1" x14ac:dyDescent="0.3">
      <c r="A149" s="26"/>
      <c r="C149" s="420"/>
      <c r="D149" s="102"/>
      <c r="E149" s="102"/>
      <c r="F149" s="105"/>
      <c r="I149" s="102"/>
    </row>
    <row r="150" spans="1:11" x14ac:dyDescent="0.3">
      <c r="A150" s="67"/>
      <c r="B150" s="67"/>
      <c r="C150" s="67"/>
      <c r="D150" s="67"/>
      <c r="E150" s="67"/>
      <c r="F150" s="67"/>
      <c r="G150" s="67"/>
      <c r="H150" s="67"/>
      <c r="I150" s="67"/>
      <c r="J150" s="67"/>
      <c r="K150" s="67"/>
    </row>
    <row r="151" spans="1:11" x14ac:dyDescent="0.3">
      <c r="A151" s="187" t="s">
        <v>232</v>
      </c>
      <c r="B151" s="187"/>
      <c r="C151" s="187"/>
      <c r="D151" s="187"/>
      <c r="E151" s="187"/>
    </row>
    <row r="171" spans="1:1" x14ac:dyDescent="0.3">
      <c r="A171" s="152" t="s">
        <v>117</v>
      </c>
    </row>
  </sheetData>
  <pageMargins left="0.70866141732283472" right="0.70866141732283472" top="0.78740157480314965" bottom="0.78740157480314965" header="0.31496062992125984" footer="0.31496062992125984"/>
  <pageSetup paperSize="9" scale="36" fitToHeight="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F0B7B8DE2217A499CFD92F3765560A9" ma:contentTypeVersion="1" ma:contentTypeDescription="Opprett et nytt dokument." ma:contentTypeScope="" ma:versionID="19a01dd6c1900f96976f3fec1ed35a65">
  <xsd:schema xmlns:xsd="http://www.w3.org/2001/XMLSchema" xmlns:p="http://schemas.microsoft.com/office/2006/metadata/properties" xmlns:ns1="http://schemas.microsoft.com/sharepoint/v3" targetNamespace="http://schemas.microsoft.com/office/2006/metadata/properties" ma:root="true" ma:fieldsID="d9125984ca4dd73f9f0fcde01e1c05c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Planlagt startdato" ma:internalName="PublishingStartDate">
      <xsd:simpleType>
        <xsd:restriction base="dms:Unknown"/>
      </xsd:simpleType>
    </xsd:element>
    <xsd:element name="PublishingExpirationDate" ma:index="9" nillable="true" ma:displayName="Planlagt utløpsdato"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ma:readOnly="tru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419FDCC-1E2D-4A61-A1A1-7D57EDBD2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0BF2C4A-0DEE-44D8-BE4D-53103E3730F1}">
  <ds:schemaRefs>
    <ds:schemaRef ds:uri="http://schemas.microsoft.com/office/2006/metadata/longProperties"/>
  </ds:schemaRefs>
</ds:datastoreItem>
</file>

<file path=customXml/itemProps3.xml><?xml version="1.0" encoding="utf-8"?>
<ds:datastoreItem xmlns:ds="http://schemas.openxmlformats.org/officeDocument/2006/customXml" ds:itemID="{43163F12-9379-46E4-8048-EFB84DE77FF7}">
  <ds:schemaRefs>
    <ds:schemaRef ds:uri="http://schemas.microsoft.com/sharepoint/v3/contenttype/forms"/>
  </ds:schemaRefs>
</ds:datastoreItem>
</file>

<file path=customXml/itemProps4.xml><?xml version="1.0" encoding="utf-8"?>
<ds:datastoreItem xmlns:ds="http://schemas.openxmlformats.org/officeDocument/2006/customXml" ds:itemID="{8CA5A153-7A8A-426B-BCEE-359C22489F46}">
  <ds:schemaRefs>
    <ds:schemaRef ds:uri="http://schemas.microsoft.com/sharepoint/v3"/>
    <ds:schemaRef ds:uri="http://purl.org/dc/term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21</vt:i4>
      </vt:variant>
      <vt:variant>
        <vt:lpstr>Navngitte områder</vt:lpstr>
      </vt:variant>
      <vt:variant>
        <vt:i4>40</vt:i4>
      </vt:variant>
    </vt:vector>
  </HeadingPairs>
  <TitlesOfParts>
    <vt:vector size="61" baseType="lpstr">
      <vt:lpstr>2019Q1</vt:lpstr>
      <vt:lpstr>2018Q4</vt:lpstr>
      <vt:lpstr>2018Q3</vt:lpstr>
      <vt:lpstr>2018Q2</vt:lpstr>
      <vt:lpstr>2018Q1</vt:lpstr>
      <vt:lpstr>2017Q4</vt:lpstr>
      <vt:lpstr>2017Q3</vt:lpstr>
      <vt:lpstr>2017Q2</vt:lpstr>
      <vt:lpstr>2016Q4</vt:lpstr>
      <vt:lpstr>2016Q3</vt:lpstr>
      <vt:lpstr>2016Q2</vt:lpstr>
      <vt:lpstr>2015Q4</vt:lpstr>
      <vt:lpstr>2015Q3</vt:lpstr>
      <vt:lpstr>2015Q1</vt:lpstr>
      <vt:lpstr>2014Q4</vt:lpstr>
      <vt:lpstr>2014Q3</vt:lpstr>
      <vt:lpstr>2013Q4</vt:lpstr>
      <vt:lpstr>2013Q2</vt:lpstr>
      <vt:lpstr>2013Q1</vt:lpstr>
      <vt:lpstr>2012Q4</vt:lpstr>
      <vt:lpstr>2012Q3</vt:lpstr>
      <vt:lpstr>'2012Q3'!Input_R_NoOfLoans</vt:lpstr>
      <vt:lpstr>'2013Q1'!Input_R_NoOfLoans</vt:lpstr>
      <vt:lpstr>'2013Q2'!Input_R_NoOfLoans</vt:lpstr>
      <vt:lpstr>'2013Q4'!Input_R_NoOfLoans</vt:lpstr>
      <vt:lpstr>'2014Q3'!Input_R_NoOfLoans</vt:lpstr>
      <vt:lpstr>'2014Q4'!Input_R_NoOfLoans</vt:lpstr>
      <vt:lpstr>'2015Q1'!Input_R_NoOfLoans</vt:lpstr>
      <vt:lpstr>'2015Q3'!Input_R_NoOfLoans</vt:lpstr>
      <vt:lpstr>'2015Q4'!Input_R_NoOfLoans</vt:lpstr>
      <vt:lpstr>'2016Q2'!Input_R_NoOfLoans</vt:lpstr>
      <vt:lpstr>'2016Q4'!Input_R_NoOfLoans</vt:lpstr>
      <vt:lpstr>'2017Q2'!Input_R_NoOfLoans</vt:lpstr>
      <vt:lpstr>'2017Q3'!Input_R_NoOfLoans</vt:lpstr>
      <vt:lpstr>'2017Q4'!Input_R_NoOfLoans</vt:lpstr>
      <vt:lpstr>'2018Q1'!Input_R_NoOfLoans</vt:lpstr>
      <vt:lpstr>'2018Q2'!Input_R_NoOfLoans</vt:lpstr>
      <vt:lpstr>'2018Q3'!Input_R_NoOfLoans</vt:lpstr>
      <vt:lpstr>'2018Q4'!Input_R_NoOfLoans</vt:lpstr>
      <vt:lpstr>'2019Q1'!Input_R_NoOfLoans</vt:lpstr>
      <vt:lpstr>Input_R_NoOfLoans</vt:lpstr>
      <vt:lpstr>'2012Q3'!Input_R_TotalLoanBalance</vt:lpstr>
      <vt:lpstr>'2013Q1'!Input_R_TotalLoanBalance</vt:lpstr>
      <vt:lpstr>'2013Q2'!Input_R_TotalLoanBalance</vt:lpstr>
      <vt:lpstr>'2013Q4'!Input_R_TotalLoanBalance</vt:lpstr>
      <vt:lpstr>'2014Q3'!Input_R_TotalLoanBalance</vt:lpstr>
      <vt:lpstr>'2014Q4'!Input_R_TotalLoanBalance</vt:lpstr>
      <vt:lpstr>'2015Q1'!Input_R_TotalLoanBalance</vt:lpstr>
      <vt:lpstr>'2015Q3'!Input_R_TotalLoanBalance</vt:lpstr>
      <vt:lpstr>'2015Q4'!Input_R_TotalLoanBalance</vt:lpstr>
      <vt:lpstr>'2016Q2'!Input_R_TotalLoanBalance</vt:lpstr>
      <vt:lpstr>'2016Q4'!Input_R_TotalLoanBalance</vt:lpstr>
      <vt:lpstr>'2017Q2'!Input_R_TotalLoanBalance</vt:lpstr>
      <vt:lpstr>'2017Q3'!Input_R_TotalLoanBalance</vt:lpstr>
      <vt:lpstr>'2017Q4'!Input_R_TotalLoanBalance</vt:lpstr>
      <vt:lpstr>'2018Q1'!Input_R_TotalLoanBalance</vt:lpstr>
      <vt:lpstr>'2018Q2'!Input_R_TotalLoanBalance</vt:lpstr>
      <vt:lpstr>'2018Q3'!Input_R_TotalLoanBalance</vt:lpstr>
      <vt:lpstr>'2018Q4'!Input_R_TotalLoanBalance</vt:lpstr>
      <vt:lpstr>'2019Q1'!Input_R_TotalLoanBalance</vt:lpstr>
      <vt:lpstr>Input_R_TotalLoanBalance</vt:lpstr>
    </vt:vector>
  </TitlesOfParts>
  <Company>Terra Gruppen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Kristian Fiskerstrand</dc:creator>
  <cp:lastModifiedBy>Karoline Opstad Strand</cp:lastModifiedBy>
  <cp:lastPrinted>2012-11-07T12:01:43Z</cp:lastPrinted>
  <dcterms:created xsi:type="dcterms:W3CDTF">2011-01-07T10:25:27Z</dcterms:created>
  <dcterms:modified xsi:type="dcterms:W3CDTF">2019-05-15T12:20:08Z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ies>
</file>